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13" documentId="8_{E6B08B04-F05C-4A19-9927-9F683D5C832E}" xr6:coauthVersionLast="47" xr6:coauthVersionMax="47" xr10:uidLastSave="{9391159C-9C8F-4111-B0BA-A221D2E0E01D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38" r:id="rId2"/>
    <sheet name="Balance Sheet Summary" sheetId="3" state="hidden" r:id="rId3"/>
    <sheet name="Oct 22 vs Oct 21 P&amp;L" sheetId="37" r:id="rId4"/>
    <sheet name="YTD US Profit and Loss" sheetId="36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FY21 APPROVED Budget by month" sheetId="6" state="hidden" r:id="rId14"/>
    <sheet name="6.22 APSEC P&amp;L" sheetId="32" r:id="rId15"/>
    <sheet name="FY22 approved Bud" sheetId="29" r:id="rId16"/>
    <sheet name="FY22 Approved Bud monthly 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'Oct 22 vs Oct 21 P&amp;L'!$A:$G,'Oct 22 vs Oct 21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4">'YTD US Profit and Loss'!$A:$H,'YTD US Profit and Loss'!$1:$2</definedName>
    <definedName name="QB_COLUMN_29" localSheetId="10" hidden="1">'US Cash Flow stmt'!$F$1</definedName>
    <definedName name="QB_COLUMN_59200" localSheetId="3" hidden="1">'Oct 22 vs Oct 21 P&amp;L'!$H$2</definedName>
    <definedName name="QB_COLUMN_59200" localSheetId="1" hidden="1">'US Balance Sheet Year over Year'!$G$2</definedName>
    <definedName name="QB_COLUMN_59200" localSheetId="4" hidden="1">'YTD US Profit and Loss'!$I$2</definedName>
    <definedName name="QB_COLUMN_61210" localSheetId="3" hidden="1">'Oct 22 vs Oct 21 P&amp;L'!$I$2</definedName>
    <definedName name="QB_COLUMN_61210" localSheetId="1" hidden="1">'US Balance Sheet Year over Year'!$H$2</definedName>
    <definedName name="QB_COLUMN_61210" localSheetId="4" hidden="1">'YTD US Profit and Loss'!$J$2</definedName>
    <definedName name="QB_COLUMN_63620" localSheetId="3" hidden="1">'Oct 22 vs Oct 21 P&amp;L'!$J$2</definedName>
    <definedName name="QB_COLUMN_63620" localSheetId="1" hidden="1">'US Balance Sheet Year over Year'!$I$2</definedName>
    <definedName name="QB_COLUMN_63620" localSheetId="4" hidden="1">'YTD US Profit and Loss'!$K$2</definedName>
    <definedName name="QB_COLUMN_64830" localSheetId="3" hidden="1">'Oct 22 vs Oct 21 P&amp;L'!$K$2</definedName>
    <definedName name="QB_COLUMN_64830" localSheetId="1" hidden="1">'US Balance Sheet Year over Year'!$J$2</definedName>
    <definedName name="QB_COLUMN_64830" localSheetId="4" hidden="1">'YTD US Profit and Loss'!$L$2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'Oct 22 vs Oct 21 P&amp;L'!$5:$5,'Oct 22 vs Oct 21 P&amp;L'!$6:$6,'Oct 22 vs Oct 21 P&amp;L'!#REF!,'Oct 22 vs Oct 21 P&amp;L'!#REF!,'Oct 22 vs Oct 21 P&amp;L'!#REF!,'Oct 22 vs Oct 21 P&amp;L'!#REF!,'Oct 22 vs Oct 21 P&amp;L'!$13:$13,'Oct 22 vs Oct 21 P&amp;L'!$14:$14,'Oct 22 vs Oct 21 P&amp;L'!#REF!,'Oct 22 vs Oct 21 P&amp;L'!$20:$20,'Oct 22 vs Oct 21 P&amp;L'!#REF!,'Oct 22 vs Oct 21 P&amp;L'!$21:$21,'Oct 22 vs Oct 21 P&amp;L'!$24:$24,'Oct 22 vs Oct 21 P&amp;L'!#REF!,'Oct 22 vs Oct 21 P&amp;L'!$30:$30,'Oct 22 vs Oct 21 P&amp;L'!$31:$31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Year'!$15:$15,'US Balance Sheet Year over Year'!$20:$20,'US Balance Sheet Year over Year'!$21:$21,'US Balance Sheet Year over Year'!$24:$24,'US Balance Sheet Year over Year'!$25:$25,'US Balance Sheet Year over Year'!$29:$29,'US Balance Sheet Year over Year'!$31:$31,'US Balance Sheet Year over Year'!$32:$32,'US Balance Sheet Year over Year'!$33:$33,'US Balance Sheet Year over Year'!$35:$35,'US Balance Sheet Year over Year'!#REF!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stmt'!$20:$20,'US Cash Flow stmt'!$21:$21,'US Cash Flow stmt'!$22:$22</definedName>
    <definedName name="QB_DATA_0" localSheetId="4" hidden="1">'YTD US Profit and Loss'!$5:$5,'YTD US Profit and Loss'!$6:$6,'YTD US Profit and Loss'!$7:$7,'YTD US Profit and Loss'!#REF!,'YTD US Profit and Loss'!$12:$12,'YTD US Profit and Loss'!$14:$14,'YTD US Profit and Loss'!$15:$15,'YTD US Profit and Loss'!$16:$16,'YTD US Profit and Loss'!$17:$17,'YTD US Profit and Loss'!$18:$18,'YTD US Profit and Loss'!$19:$19,'YTD US Profit and Loss'!$22:$22,'YTD US Profit and Loss'!$23:$23,'YTD US Profit and Loss'!$24:$24,'YTD US Profit and Loss'!$29:$29,'YTD US Profit and Loss'!$33:$33</definedName>
    <definedName name="QB_DATA_1" localSheetId="3" hidden="1">'Oct 22 vs Oct 21 P&amp;L'!$34:$34,'Oct 22 vs Oct 21 P&amp;L'!$35:$35,'Oct 22 vs Oct 21 P&amp;L'!$36:$36,'Oct 22 vs Oct 21 P&amp;L'!$37:$37,'Oct 22 vs Oct 21 P&amp;L'!$38:$38,'Oct 22 vs Oct 21 P&amp;L'!$39:$39,'Oct 22 vs Oct 21 P&amp;L'!$41:$41,'Oct 22 vs Oct 21 P&amp;L'!$42:$42,'Oct 22 vs Oct 21 P&amp;L'!$44:$44,'Oct 22 vs Oct 21 P&amp;L'!#REF!,'Oct 22 vs Oct 21 P&amp;L'!$45:$45,'Oct 22 vs Oct 21 P&amp;L'!$47:$47,'Oct 22 vs Oct 21 P&amp;L'!$48:$48,'Oct 22 vs Oct 21 P&amp;L'!$49:$49,'Oct 22 vs Oct 21 P&amp;L'!#REF!,'Oct 22 vs Oct 21 P&amp;L'!$52:$52</definedName>
    <definedName name="QB_DATA_1" localSheetId="11" hidden="1">'Open AP'!$18:$18,'Open AP'!$19:$19,'Open AP'!$20:$20,'Open AP'!$21:$21,'Open AP'!$22:$22,'Open AP'!$23:$23,'Open AP'!$24:$24,'Open AP'!$25:$25,'Open AP'!$26:$26,'Open AP'!$27:$27,'Open AP'!$28:$28,'Open AP'!$29:$29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Year'!$36:$36,'US Balance Sheet Year over Year'!$44:$44,'US Balance Sheet Year over Year'!$47:$47,'US Balance Sheet Year over Year'!#REF!,'US Balance Sheet Year over Year'!#REF!,'US Balance Sheet Year over Year'!$49:$49,'US Balance Sheet Year over Year'!$50:$50,'US Balance Sheet Year over Year'!$51:$51,'US Balance Sheet Year over Year'!$53:$53,'US Balance Sheet Year over Year'!$54:$54,'US Balance Sheet Year over Year'!$55:$55,'US Balance Sheet Year over Year'!$57:$57,'US Balance Sheet Year over Year'!$62:$62,'US Balance Sheet Year over Year'!$63:$63,'US Balance Sheet Year over Year'!$64:$64</definedName>
    <definedName name="QB_DATA_1" localSheetId="10" hidden="1">'US Cash Flow stmt'!$23:$23,'US Cash Flow stmt'!$24:$24,'US Cash Flow stmt'!$27:$27,'US Cash Flow stmt'!$28:$28,'US Cash Flow stmt'!$31:$31</definedName>
    <definedName name="QB_DATA_1" localSheetId="4" hidden="1">'YTD US Profit and Loss'!$35:$35,'YTD US Profit and Loss'!$38:$38,'YTD US Profit and Loss'!$39:$39,'YTD US Profit and Loss'!$40:$40,'YTD US Profit and Loss'!$43:$43,'YTD US Profit and Loss'!$46:$46,'YTD US Profit and Loss'!$47:$47,'YTD US Profit and Loss'!$48:$48,'YTD US Profit and Loss'!$53:$53,'YTD US Profit and Loss'!$55:$55,'YTD US Profit and Loss'!$57:$57,'YTD US Profit and Loss'!$58:$58,'YTD US Profit and Loss'!$61:$61,'YTD US Profit and Loss'!$62:$62,'YTD US Profit and Loss'!$63:$63,'YTD US Profit and Loss'!$64:$64</definedName>
    <definedName name="QB_DATA_2" localSheetId="3" hidden="1">'Oct 22 vs Oct 21 P&amp;L'!#REF!,'Oct 22 vs Oct 21 P&amp;L'!$60:$60,'Oct 22 vs Oct 21 P&amp;L'!$61:$61,'Oct 22 vs Oct 21 P&amp;L'!$62:$62,'Oct 22 vs Oct 21 P&amp;L'!$66:$66,'Oct 22 vs Oct 21 P&amp;L'!$67:$67,'Oct 22 vs Oct 21 P&amp;L'!$68:$68,'Oct 22 vs Oct 21 P&amp;L'!#REF!,'Oct 22 vs Oct 21 P&amp;L'!#REF!</definedName>
    <definedName name="QB_DATA_2" localSheetId="4" hidden="1">'YTD US Profit and Loss'!$65:$65,'YTD US Profit and Loss'!$66:$66,'YTD US Profit and Loss'!$68:$68,'YTD US Profit and Loss'!$69:$69,'YTD US Profit and Loss'!$70:$70,'YTD US Profit and Loss'!$72:$72,'YTD US Profit and Loss'!$73:$73,'YTD US Profit and Loss'!$74:$74,'YTD US Profit and Loss'!$75:$75,'YTD US Profit and Loss'!$76:$76,'YTD US Profit and Loss'!$77:$77,'YTD US Profit and Loss'!$79:$79,'YTD US Profit and Loss'!$80:$80,'YTD US Profit and Loss'!$81:$81,'YTD US Profit and Loss'!$82:$82,'YTD US Profit and Loss'!$84:$84</definedName>
    <definedName name="QB_DATA_3" localSheetId="4" hidden="1">'YTD US Profit and Loss'!$86:$86,'YTD US Profit and Loss'!$87:$87,'YTD US Profit and Loss'!$90:$90,'YTD US Profit and Loss'!$91:$91,'YTD US Profit and Loss'!$92:$92,'YTD US Profit and Loss'!$94:$94,'YTD US Profit and Loss'!$96:$96,'YTD US Profit and Loss'!$97:$97,'YTD US Profit and Loss'!$98:$98,'YTD US Profit and Loss'!$99:$99,'YTD US Profit and Loss'!$102:$102,'YTD US Profit and Loss'!$103:$103,'YTD US Profit and Loss'!$104:$104,'YTD US Profit and Loss'!$105:$105,'YTD US Profit and Loss'!$106:$106,'YTD US Profit and Loss'!$109:$109</definedName>
    <definedName name="QB_DATA_4" localSheetId="4" hidden="1">'YTD US Profit and Loss'!$110:$110</definedName>
    <definedName name="QB_FORMULA_0" localSheetId="3" hidden="1">'Oct 22 vs Oct 21 P&amp;L'!$J$5,'Oct 22 vs Oct 21 P&amp;L'!$K$5,'Oct 22 vs Oct 21 P&amp;L'!$J$6,'Oct 22 vs Oct 21 P&amp;L'!$K$6,'Oct 22 vs Oct 21 P&amp;L'!#REF!,'Oct 22 vs Oct 21 P&amp;L'!#REF!,'Oct 22 vs Oct 21 P&amp;L'!#REF!,'Oct 22 vs Oct 21 P&amp;L'!#REF!,'Oct 22 vs Oct 21 P&amp;L'!#REF!,'Oct 22 vs Oct 21 P&amp;L'!#REF!,'Oct 22 vs Oct 21 P&amp;L'!#REF!,'Oct 22 vs Oct 21 P&amp;L'!#REF!,'Oct 22 vs Oct 21 P&amp;L'!#REF!,'Oct 22 vs Oct 21 P&amp;L'!#REF!,'Oct 22 vs Oct 21 P&amp;L'!#REF!,'Oct 22 vs Oct 21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stmt'!$F$18,'US Cash Flow stmt'!$F$25,'US Cash Flow stmt'!$F$29,'US Cash Flow stmt'!$F$30,'US Cash Flow stmt'!$F$32</definedName>
    <definedName name="QB_FORMULA_0" localSheetId="4" hidden="1">'YTD US Profit and Loss'!$K$5,'YTD US Profit and Loss'!$L$5,'YTD US Profit and Loss'!$K$6,'YTD US Profit and Loss'!$L$6,'YTD US Profit and Loss'!$K$7,'YTD US Profit and Loss'!$L$7,'YTD US Profit and Loss'!#REF!,'YTD US Profit and Loss'!#REF!,'YTD US Profit and Loss'!#REF!,'YTD US Profit and Loss'!#REF!,'YTD US Profit and Loss'!#REF!,'YTD US Profit and Loss'!#REF!,'YTD US Profit and Loss'!$K$12,'YTD US Profit and Loss'!$L$12,'YTD US Profit and Loss'!$K$14,'YTD US Profit and Loss'!$L$14</definedName>
    <definedName name="QB_FORMULA_1" localSheetId="3" hidden="1">'Oct 22 vs Oct 21 P&amp;L'!$H$11,'Oct 22 vs Oct 21 P&amp;L'!$I$11,'Oct 22 vs Oct 21 P&amp;L'!$J$11,'Oct 22 vs Oct 21 P&amp;L'!$K$11,'Oct 22 vs Oct 21 P&amp;L'!$J$13,'Oct 22 vs Oct 21 P&amp;L'!$K$13,'Oct 22 vs Oct 21 P&amp;L'!$J$14,'Oct 22 vs Oct 21 P&amp;L'!$K$14,'Oct 22 vs Oct 21 P&amp;L'!$H$15,'Oct 22 vs Oct 21 P&amp;L'!$I$15,'Oct 22 vs Oct 21 P&amp;L'!$J$15,'Oct 22 vs Oct 21 P&amp;L'!$K$15,'Oct 22 vs Oct 21 P&amp;L'!#REF!,'Oct 22 vs Oct 21 P&amp;L'!#REF!,'Oct 22 vs Oct 21 P&amp;L'!$J$20,'Oct 22 vs Oct 21 P&amp;L'!$K$20</definedName>
    <definedName name="QB_FORMULA_1" localSheetId="11" hidden="1">'Open AP'!$H$18,'Open AP'!$H$19,'Open AP'!$H$20,'Open AP'!$H$21,'Open AP'!$H$22,'Open AP'!$H$23,'Open AP'!$H$24,'Open AP'!$H$25,'Open AP'!$H$26,'Open AP'!$H$27,'Open AP'!$H$28,'Open AP'!$H$29,'Open AP'!$C$30,'Open AP'!$D$30,'Open AP'!$E$30,'Open AP'!$F$30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Year'!$I$15,'US Balance Sheet Year over Year'!$J$15,'US Balance Sheet Year over Year'!$G$16,'US Balance Sheet Year over Year'!$H$16,'US Balance Sheet Year over Year'!$I$16,'US Balance Sheet Year over Year'!$J$16,'US Balance Sheet Year over Year'!$G$17,'US Balance Sheet Year over Year'!$H$17,'US Balance Sheet Year over Year'!$I$17,'US Balance Sheet Year over Year'!$J$17,'US Balance Sheet Year over Year'!$I$20,'US Balance Sheet Year over Year'!$J$20,'US Balance Sheet Year over Year'!$I$21,'US Balance Sheet Year over Year'!$J$21</definedName>
    <definedName name="QB_FORMULA_1" localSheetId="4" hidden="1">'YTD US Profit and Loss'!$K$15,'YTD US Profit and Loss'!$L$15,'YTD US Profit and Loss'!$K$16,'YTD US Profit and Loss'!$L$16,'YTD US Profit and Loss'!$K$17,'YTD US Profit and Loss'!$L$17,'YTD US Profit and Loss'!$K$18,'YTD US Profit and Loss'!$L$18,'YTD US Profit and Loss'!$K$19,'YTD US Profit and Loss'!$L$19,'YTD US Profit and Loss'!$I$20,'YTD US Profit and Loss'!$J$20,'YTD US Profit and Loss'!$K$20,'YTD US Profit and Loss'!$L$20,'YTD US Profit and Loss'!$K$22,'YTD US Profit and Loss'!$L$22</definedName>
    <definedName name="QB_FORMULA_10" localSheetId="4" hidden="1">'YTD US Profit and Loss'!$K$86,'YTD US Profit and Loss'!$L$86,'YTD US Profit and Loss'!$K$87,'YTD US Profit and Loss'!$L$87,'YTD US Profit and Loss'!$K$90,'YTD US Profit and Loss'!$L$90,'YTD US Profit and Loss'!$K$91,'YTD US Profit and Loss'!$L$91,'YTD US Profit and Loss'!$K$92,'YTD US Profit and Loss'!$L$92,'YTD US Profit and Loss'!$I$93,'YTD US Profit and Loss'!$J$93,'YTD US Profit and Loss'!$K$93,'YTD US Profit and Loss'!$L$93,'YTD US Profit and Loss'!$K$94,'YTD US Profit and Loss'!$L$94</definedName>
    <definedName name="QB_FORMULA_11" localSheetId="4" hidden="1">'YTD US Profit and Loss'!$K$96,'YTD US Profit and Loss'!$L$96,'YTD US Profit and Loss'!$K$97,'YTD US Profit and Loss'!$L$97,'YTD US Profit and Loss'!$K$98,'YTD US Profit and Loss'!$L$98,'YTD US Profit and Loss'!$K$99,'YTD US Profit and Loss'!$L$99,'YTD US Profit and Loss'!$I$100,'YTD US Profit and Loss'!$J$100,'YTD US Profit and Loss'!$K$100,'YTD US Profit and Loss'!$L$100,'YTD US Profit and Loss'!$K$102,'YTD US Profit and Loss'!$L$102,'YTD US Profit and Loss'!$K$103,'YTD US Profit and Loss'!$L$103</definedName>
    <definedName name="QB_FORMULA_12" localSheetId="4" hidden="1">'YTD US Profit and Loss'!$K$104,'YTD US Profit and Loss'!$L$104,'YTD US Profit and Loss'!$K$105,'YTD US Profit and Loss'!$L$105,'YTD US Profit and Loss'!$K$106,'YTD US Profit and Loss'!$L$106,'YTD US Profit and Loss'!$I$107,'YTD US Profit and Loss'!$J$107,'YTD US Profit and Loss'!$K$107,'YTD US Profit and Loss'!$L$107,'YTD US Profit and Loss'!$K$109,'YTD US Profit and Loss'!$L$109,'YTD US Profit and Loss'!$K$110,'YTD US Profit and Loss'!$L$110,'YTD US Profit and Loss'!$I$111,'YTD US Profit and Loss'!$J$111</definedName>
    <definedName name="QB_FORMULA_13" localSheetId="4" hidden="1">'YTD US Profit and Loss'!$K$111,'YTD US Profit and Loss'!$L$111,'YTD US Profit and Loss'!$I$112,'YTD US Profit and Loss'!$J$112,'YTD US Profit and Loss'!$K$112,'YTD US Profit and Loss'!$L$112,'YTD US Profit and Loss'!$I$113,'YTD US Profit and Loss'!$J$113,'YTD US Profit and Loss'!$K$113,'YTD US Profit and Loss'!$L$113,'YTD US Profit and Loss'!$I$114,'YTD US Profit and Loss'!$J$114,'YTD US Profit and Loss'!$K$114,'YTD US Profit and Loss'!$L$114</definedName>
    <definedName name="QB_FORMULA_2" localSheetId="3" hidden="1">'Oct 22 vs Oct 21 P&amp;L'!#REF!,'Oct 22 vs Oct 21 P&amp;L'!#REF!,'Oct 22 vs Oct 21 P&amp;L'!$J$21,'Oct 22 vs Oct 21 P&amp;L'!$K$21,'Oct 22 vs Oct 21 P&amp;L'!$H$22,'Oct 22 vs Oct 21 P&amp;L'!$I$22,'Oct 22 vs Oct 21 P&amp;L'!$J$22,'Oct 22 vs Oct 21 P&amp;L'!$K$22,'Oct 22 vs Oct 21 P&amp;L'!$J$24,'Oct 22 vs Oct 21 P&amp;L'!$K$24,'Oct 22 vs Oct 21 P&amp;L'!$H$25,'Oct 22 vs Oct 21 P&amp;L'!$I$25,'Oct 22 vs Oct 21 P&amp;L'!$J$25,'Oct 22 vs Oct 21 P&amp;L'!$K$25,'Oct 22 vs Oct 21 P&amp;L'!$H$26,'Oct 22 vs Oct 21 P&amp;L'!$I$26</definedName>
    <definedName name="QB_FORMULA_2" localSheetId="11" hidden="1">'Open AP'!$G$30,'Open AP'!$H$30</definedName>
    <definedName name="QB_FORMULA_2" localSheetId="12" hidden="1">'Open AR'!#REF!,'Open AR'!#REF!,'Open AR'!#REF!,'Open AR'!#REF!,'Open AR'!#REF!</definedName>
    <definedName name="QB_FORMULA_2" localSheetId="1" hidden="1">'US Balance Sheet Year over Year'!$G$22,'US Balance Sheet Year over Year'!$H$22,'US Balance Sheet Year over Year'!$I$22,'US Balance Sheet Year over Year'!$J$22,'US Balance Sheet Year over Year'!$I$24,'US Balance Sheet Year over Year'!$J$24,'US Balance Sheet Year over Year'!$I$25,'US Balance Sheet Year over Year'!$J$25,'US Balance Sheet Year over Year'!$G$26,'US Balance Sheet Year over Year'!$H$26,'US Balance Sheet Year over Year'!$I$26,'US Balance Sheet Year over Year'!$J$26,'US Balance Sheet Year over Year'!$G$27,'US Balance Sheet Year over Year'!$H$27,'US Balance Sheet Year over Year'!$I$27,'US Balance Sheet Year over Year'!$J$27</definedName>
    <definedName name="QB_FORMULA_2" localSheetId="4" hidden="1">'YTD US Profit and Loss'!$K$23,'YTD US Profit and Loss'!$L$23,'YTD US Profit and Loss'!$K$24,'YTD US Profit and Loss'!$L$24,'YTD US Profit and Loss'!$I$25,'YTD US Profit and Loss'!$J$25,'YTD US Profit and Loss'!$K$25,'YTD US Profit and Loss'!$L$25,'YTD US Profit and Loss'!$K$29,'YTD US Profit and Loss'!$L$29,'YTD US Profit and Loss'!$I$30,'YTD US Profit and Loss'!$J$30,'YTD US Profit and Loss'!$K$30,'YTD US Profit and Loss'!$L$30,'YTD US Profit and Loss'!$I$31,'YTD US Profit and Loss'!$J$31</definedName>
    <definedName name="QB_FORMULA_3" localSheetId="3" hidden="1">'Oct 22 vs Oct 21 P&amp;L'!$J$26,'Oct 22 vs Oct 21 P&amp;L'!$K$26,'Oct 22 vs Oct 21 P&amp;L'!$H$27,'Oct 22 vs Oct 21 P&amp;L'!$I$27,'Oct 22 vs Oct 21 P&amp;L'!$J$27,'Oct 22 vs Oct 21 P&amp;L'!$K$27,'Oct 22 vs Oct 21 P&amp;L'!#REF!,'Oct 22 vs Oct 21 P&amp;L'!#REF!,'Oct 22 vs Oct 21 P&amp;L'!$J$30,'Oct 22 vs Oct 21 P&amp;L'!$K$30,'Oct 22 vs Oct 21 P&amp;L'!$J$31,'Oct 22 vs Oct 21 P&amp;L'!$K$31,'Oct 22 vs Oct 21 P&amp;L'!$H$32,'Oct 22 vs Oct 21 P&amp;L'!$I$32,'Oct 22 vs Oct 21 P&amp;L'!$J$32,'Oct 22 vs Oct 21 P&amp;L'!$K$32</definedName>
    <definedName name="QB_FORMULA_3" localSheetId="1" hidden="1">'US Balance Sheet Year over Year'!$I$29,'US Balance Sheet Year over Year'!$J$29,'US Balance Sheet Year over Year'!$I$31,'US Balance Sheet Year over Year'!$J$31,'US Balance Sheet Year over Year'!$I$32,'US Balance Sheet Year over Year'!$J$32,'US Balance Sheet Year over Year'!$I$33,'US Balance Sheet Year over Year'!$J$33,'US Balance Sheet Year over Year'!$I$35,'US Balance Sheet Year over Year'!$J$35,'US Balance Sheet Year over Year'!#REF!,'US Balance Sheet Year over Year'!#REF!,'US Balance Sheet Year over Year'!$I$36,'US Balance Sheet Year over Year'!$J$36,'US Balance Sheet Year over Year'!$G$37,'US Balance Sheet Year over Year'!$H$37</definedName>
    <definedName name="QB_FORMULA_3" localSheetId="4" hidden="1">'YTD US Profit and Loss'!$K$31,'YTD US Profit and Loss'!$L$31,'YTD US Profit and Loss'!$I$32,'YTD US Profit and Loss'!$J$32,'YTD US Profit and Loss'!$K$32,'YTD US Profit and Loss'!$L$32,'YTD US Profit and Loss'!$K$33,'YTD US Profit and Loss'!$L$33,'YTD US Profit and Loss'!$K$35,'YTD US Profit and Loss'!$L$35,'YTD US Profit and Loss'!$I$36,'YTD US Profit and Loss'!$J$36,'YTD US Profit and Loss'!$K$36,'YTD US Profit and Loss'!$L$36,'YTD US Profit and Loss'!$K$38,'YTD US Profit and Loss'!$L$38</definedName>
    <definedName name="QB_FORMULA_4" localSheetId="3" hidden="1">'Oct 22 vs Oct 21 P&amp;L'!$J$34,'Oct 22 vs Oct 21 P&amp;L'!$K$34,'Oct 22 vs Oct 21 P&amp;L'!$J$35,'Oct 22 vs Oct 21 P&amp;L'!$K$35,'Oct 22 vs Oct 21 P&amp;L'!$J$36,'Oct 22 vs Oct 21 P&amp;L'!$K$36,'Oct 22 vs Oct 21 P&amp;L'!$J$37,'Oct 22 vs Oct 21 P&amp;L'!$K$37,'Oct 22 vs Oct 21 P&amp;L'!$J$38,'Oct 22 vs Oct 21 P&amp;L'!$K$38,'Oct 22 vs Oct 21 P&amp;L'!$J$39,'Oct 22 vs Oct 21 P&amp;L'!$K$39,'Oct 22 vs Oct 21 P&amp;L'!$J$41,'Oct 22 vs Oct 21 P&amp;L'!$K$41,'Oct 22 vs Oct 21 P&amp;L'!$J$42,'Oct 22 vs Oct 21 P&amp;L'!$K$42</definedName>
    <definedName name="QB_FORMULA_4" localSheetId="1" hidden="1">'US Balance Sheet Year over Year'!$I$37,'US Balance Sheet Year over Year'!$J$37,'US Balance Sheet Year over Year'!$G$38,'US Balance Sheet Year over Year'!$H$38,'US Balance Sheet Year over Year'!$I$38,'US Balance Sheet Year over Year'!$J$38,'US Balance Sheet Year over Year'!$G$39,'US Balance Sheet Year over Year'!$H$39,'US Balance Sheet Year over Year'!$I$39,'US Balance Sheet Year over Year'!$J$39,'US Balance Sheet Year over Year'!$I$44,'US Balance Sheet Year over Year'!$J$44,'US Balance Sheet Year over Year'!$G$45,'US Balance Sheet Year over Year'!$H$45,'US Balance Sheet Year over Year'!$I$45,'US Balance Sheet Year over Year'!$J$45</definedName>
    <definedName name="QB_FORMULA_4" localSheetId="4" hidden="1">'YTD US Profit and Loss'!$K$39,'YTD US Profit and Loss'!$L$39,'YTD US Profit and Loss'!$K$40,'YTD US Profit and Loss'!$L$40,'YTD US Profit and Loss'!$I$41,'YTD US Profit and Loss'!$J$41,'YTD US Profit and Loss'!$K$41,'YTD US Profit and Loss'!$L$41,'YTD US Profit and Loss'!$K$43,'YTD US Profit and Loss'!$L$43,'YTD US Profit and Loss'!$I$44,'YTD US Profit and Loss'!$J$44,'YTD US Profit and Loss'!$K$44,'YTD US Profit and Loss'!$L$44,'YTD US Profit and Loss'!$K$46,'YTD US Profit and Loss'!$L$46</definedName>
    <definedName name="QB_FORMULA_5" localSheetId="3" hidden="1">'Oct 22 vs Oct 21 P&amp;L'!$H$43,'Oct 22 vs Oct 21 P&amp;L'!$I$43,'Oct 22 vs Oct 21 P&amp;L'!$J$43,'Oct 22 vs Oct 21 P&amp;L'!$K$43,'Oct 22 vs Oct 21 P&amp;L'!$J$44,'Oct 22 vs Oct 21 P&amp;L'!$K$44,'Oct 22 vs Oct 21 P&amp;L'!#REF!,'Oct 22 vs Oct 21 P&amp;L'!#REF!,'Oct 22 vs Oct 21 P&amp;L'!$J$45,'Oct 22 vs Oct 21 P&amp;L'!$K$45,'Oct 22 vs Oct 21 P&amp;L'!$J$47,'Oct 22 vs Oct 21 P&amp;L'!$K$47,'Oct 22 vs Oct 21 P&amp;L'!$J$48,'Oct 22 vs Oct 21 P&amp;L'!$K$48,'Oct 22 vs Oct 21 P&amp;L'!$J$49,'Oct 22 vs Oct 21 P&amp;L'!$K$49</definedName>
    <definedName name="QB_FORMULA_5" localSheetId="1" hidden="1">'US Balance Sheet Year over Year'!$I$47,'US Balance Sheet Year over Year'!$J$47,'US Balance Sheet Year over Year'!#REF!,'US Balance Sheet Year over Year'!#REF!,'US Balance Sheet Year over Year'!#REF!,'US Balance Sheet Year over Year'!#REF!,'US Balance Sheet Year over Year'!$I$49,'US Balance Sheet Year over Year'!$J$49,'US Balance Sheet Year over Year'!$I$50,'US Balance Sheet Year over Year'!$J$50,'US Balance Sheet Year over Year'!$I$51,'US Balance Sheet Year over Year'!$J$51,'US Balance Sheet Year over Year'!$I$53,'US Balance Sheet Year over Year'!$J$53,'US Balance Sheet Year over Year'!$I$54,'US Balance Sheet Year over Year'!$J$54</definedName>
    <definedName name="QB_FORMULA_5" localSheetId="4" hidden="1">'YTD US Profit and Loss'!$K$47,'YTD US Profit and Loss'!$L$47,'YTD US Profit and Loss'!$K$48,'YTD US Profit and Loss'!$L$48,'YTD US Profit and Loss'!$I$49,'YTD US Profit and Loss'!$J$49,'YTD US Profit and Loss'!$K$49,'YTD US Profit and Loss'!$L$49,'YTD US Profit and Loss'!$I$50,'YTD US Profit and Loss'!$J$50,'YTD US Profit and Loss'!$K$50,'YTD US Profit and Loss'!$L$50,'YTD US Profit and Loss'!$I$51,'YTD US Profit and Loss'!$J$51,'YTD US Profit and Loss'!$K$51,'YTD US Profit and Loss'!$L$51</definedName>
    <definedName name="QB_FORMULA_6" localSheetId="3" hidden="1">'Oct 22 vs Oct 21 P&amp;L'!$H$50,'Oct 22 vs Oct 21 P&amp;L'!$I$50,'Oct 22 vs Oct 21 P&amp;L'!$J$50,'Oct 22 vs Oct 21 P&amp;L'!$K$50,'Oct 22 vs Oct 21 P&amp;L'!#REF!,'Oct 22 vs Oct 21 P&amp;L'!#REF!,'Oct 22 vs Oct 21 P&amp;L'!$H$51,'Oct 22 vs Oct 21 P&amp;L'!$I$51,'Oct 22 vs Oct 21 P&amp;L'!$J$51,'Oct 22 vs Oct 21 P&amp;L'!$K$51,'Oct 22 vs Oct 21 P&amp;L'!$J$52,'Oct 22 vs Oct 21 P&amp;L'!$K$52,'Oct 22 vs Oct 21 P&amp;L'!#REF!,'Oct 22 vs Oct 21 P&amp;L'!#REF!,'Oct 22 vs Oct 21 P&amp;L'!$J$60,'Oct 22 vs Oct 21 P&amp;L'!$K$60</definedName>
    <definedName name="QB_FORMULA_6" localSheetId="1" hidden="1">'US Balance Sheet Year over Year'!$I$55,'US Balance Sheet Year over Year'!$J$55,'US Balance Sheet Year over Year'!$G$56,'US Balance Sheet Year over Year'!$H$56,'US Balance Sheet Year over Year'!$I$56,'US Balance Sheet Year over Year'!$J$56,'US Balance Sheet Year over Year'!$I$57,'US Balance Sheet Year over Year'!$J$57,'US Balance Sheet Year over Year'!$G$58,'US Balance Sheet Year over Year'!$H$58,'US Balance Sheet Year over Year'!$I$58,'US Balance Sheet Year over Year'!$J$58,'US Balance Sheet Year over Year'!$G$59,'US Balance Sheet Year over Year'!$H$59,'US Balance Sheet Year over Year'!$I$59,'US Balance Sheet Year over Year'!$J$59</definedName>
    <definedName name="QB_FORMULA_6" localSheetId="4" hidden="1">'YTD US Profit and Loss'!$K$53,'YTD US Profit and Loss'!$L$53,'YTD US Profit and Loss'!$K$55,'YTD US Profit and Loss'!$L$55,'YTD US Profit and Loss'!$K$57,'YTD US Profit and Loss'!$L$57,'YTD US Profit and Loss'!$K$58,'YTD US Profit and Loss'!$L$58,'YTD US Profit and Loss'!$I$59,'YTD US Profit and Loss'!$J$59,'YTD US Profit and Loss'!$K$59,'YTD US Profit and Loss'!$L$59,'YTD US Profit and Loss'!$K$61,'YTD US Profit and Loss'!$L$61,'YTD US Profit and Loss'!$K$62,'YTD US Profit and Loss'!$L$62</definedName>
    <definedName name="QB_FORMULA_7" localSheetId="3" hidden="1">'Oct 22 vs Oct 21 P&amp;L'!$J$61,'Oct 22 vs Oct 21 P&amp;L'!$K$61,'Oct 22 vs Oct 21 P&amp;L'!$J$62,'Oct 22 vs Oct 21 P&amp;L'!$K$62,'Oct 22 vs Oct 21 P&amp;L'!$H$63,'Oct 22 vs Oct 21 P&amp;L'!$I$63,'Oct 22 vs Oct 21 P&amp;L'!$J$63,'Oct 22 vs Oct 21 P&amp;L'!$K$63,'Oct 22 vs Oct 21 P&amp;L'!$J$66,'Oct 22 vs Oct 21 P&amp;L'!$K$66,'Oct 22 vs Oct 21 P&amp;L'!$J$67,'Oct 22 vs Oct 21 P&amp;L'!$K$67,'Oct 22 vs Oct 21 P&amp;L'!$J$68,'Oct 22 vs Oct 21 P&amp;L'!$K$68,'Oct 22 vs Oct 21 P&amp;L'!$H$69,'Oct 22 vs Oct 21 P&amp;L'!$I$69</definedName>
    <definedName name="QB_FORMULA_7" localSheetId="1" hidden="1">'US Balance Sheet Year over Year'!$G$60,'US Balance Sheet Year over Year'!$H$60,'US Balance Sheet Year over Year'!$I$60,'US Balance Sheet Year over Year'!$J$60,'US Balance Sheet Year over Year'!$I$62,'US Balance Sheet Year over Year'!$J$62,'US Balance Sheet Year over Year'!$I$63,'US Balance Sheet Year over Year'!$J$63,'US Balance Sheet Year over Year'!$I$64,'US Balance Sheet Year over Year'!$J$64,'US Balance Sheet Year over Year'!$G$65,'US Balance Sheet Year over Year'!$H$65,'US Balance Sheet Year over Year'!$I$65,'US Balance Sheet Year over Year'!$J$65,'US Balance Sheet Year over Year'!$G$66,'US Balance Sheet Year over Year'!$H$66</definedName>
    <definedName name="QB_FORMULA_7" localSheetId="4" hidden="1">'YTD US Profit and Loss'!$K$63,'YTD US Profit and Loss'!$L$63,'YTD US Profit and Loss'!$K$64,'YTD US Profit and Loss'!$L$64,'YTD US Profit and Loss'!$K$65,'YTD US Profit and Loss'!$L$65,'YTD US Profit and Loss'!$K$66,'YTD US Profit and Loss'!$L$66,'YTD US Profit and Loss'!$K$68,'YTD US Profit and Loss'!$L$68,'YTD US Profit and Loss'!$K$69,'YTD US Profit and Loss'!$L$69,'YTD US Profit and Loss'!$K$70,'YTD US Profit and Loss'!$L$70,'YTD US Profit and Loss'!$I$71,'YTD US Profit and Loss'!$J$71</definedName>
    <definedName name="QB_FORMULA_8" localSheetId="3" hidden="1">'Oct 22 vs Oct 21 P&amp;L'!$J$69,'Oct 22 vs Oct 21 P&amp;L'!$K$69,'Oct 22 vs Oct 21 P&amp;L'!#REF!,'Oct 22 vs Oct 21 P&amp;L'!#REF!,'Oct 22 vs Oct 21 P&amp;L'!#REF!,'Oct 22 vs Oct 21 P&amp;L'!#REF!,'Oct 22 vs Oct 21 P&amp;L'!#REF!,'Oct 22 vs Oct 21 P&amp;L'!#REF!,'Oct 22 vs Oct 21 P&amp;L'!#REF!,'Oct 22 vs Oct 21 P&amp;L'!#REF!,'Oct 22 vs Oct 21 P&amp;L'!$H$71,'Oct 22 vs Oct 21 P&amp;L'!$I$71,'Oct 22 vs Oct 21 P&amp;L'!$J$71,'Oct 22 vs Oct 21 P&amp;L'!$K$71,'Oct 22 vs Oct 21 P&amp;L'!$H$72,'Oct 22 vs Oct 21 P&amp;L'!$I$72</definedName>
    <definedName name="QB_FORMULA_8" localSheetId="1" hidden="1">'US Balance Sheet Year over Year'!$I$66,'US Balance Sheet Year over Year'!$J$66</definedName>
    <definedName name="QB_FORMULA_8" localSheetId="4" hidden="1">'YTD US Profit and Loss'!$K$71,'YTD US Profit and Loss'!$L$71,'YTD US Profit and Loss'!$K$72,'YTD US Profit and Loss'!$L$72,'YTD US Profit and Loss'!$K$73,'YTD US Profit and Loss'!$L$73,'YTD US Profit and Loss'!$K$74,'YTD US Profit and Loss'!$L$74,'YTD US Profit and Loss'!$K$75,'YTD US Profit and Loss'!$L$75,'YTD US Profit and Loss'!$K$76,'YTD US Profit and Loss'!$L$76,'YTD US Profit and Loss'!$K$77,'YTD US Profit and Loss'!$L$77,'YTD US Profit and Loss'!$K$79,'YTD US Profit and Loss'!$L$79</definedName>
    <definedName name="QB_FORMULA_9" localSheetId="3" hidden="1">'Oct 22 vs Oct 21 P&amp;L'!$J$72,'Oct 22 vs Oct 21 P&amp;L'!$K$72,'Oct 22 vs Oct 21 P&amp;L'!$H$73,'Oct 22 vs Oct 21 P&amp;L'!$I$73,'Oct 22 vs Oct 21 P&amp;L'!$J$73,'Oct 22 vs Oct 21 P&amp;L'!$K$73</definedName>
    <definedName name="QB_FORMULA_9" localSheetId="4" hidden="1">'YTD US Profit and Loss'!$K$80,'YTD US Profit and Loss'!$L$80,'YTD US Profit and Loss'!$K$81,'YTD US Profit and Loss'!$L$81,'YTD US Profit and Loss'!$K$82,'YTD US Profit and Loss'!$L$82,'YTD US Profit and Loss'!$I$83,'YTD US Profit and Loss'!$J$83,'YTD US Profit and Loss'!$K$83,'YTD US Profit and Loss'!$L$83,'YTD US Profit and Loss'!$K$84,'YTD US Profit and Loss'!$L$84,'YTD US Profit and Loss'!$I$85,'YTD US Profit and Loss'!$J$85,'YTD US Profit and Loss'!$K$85,'YTD US Profit and Loss'!$L$85</definedName>
    <definedName name="QB_ROW_1" localSheetId="1" hidden="1">'US Balance Sheet Year over Year'!$A$3</definedName>
    <definedName name="QB_ROW_1002050" localSheetId="4" hidden="1">'YTD US Profit and Loss'!$F$27</definedName>
    <definedName name="QB_ROW_1002350" localSheetId="4" hidden="1">'YTD US Profit and Loss'!$F$31</definedName>
    <definedName name="QB_ROW_10031" localSheetId="1" hidden="1">'US Balance Sheet Year over Year'!$D$43</definedName>
    <definedName name="QB_ROW_1004210" localSheetId="12" hidden="1">'Open AR'!$B$13</definedName>
    <definedName name="QB_ROW_1005040" localSheetId="4" hidden="1">'YTD US Profit and Loss'!$E$26</definedName>
    <definedName name="QB_ROW_1005340" localSheetId="4" hidden="1">'YTD US Profit and Loss'!$E$32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'Oct 22 vs Oct 21 P&amp;L'!$F$62</definedName>
    <definedName name="QB_ROW_103250" localSheetId="4" hidden="1">'YTD US Profit and Loss'!$F$99</definedName>
    <definedName name="QB_ROW_10331" localSheetId="1" hidden="1">'US Balance Sheet Year over Year'!$D$45</definedName>
    <definedName name="QB_ROW_1036060" localSheetId="4" hidden="1">'YTD US Profit and Loss'!$G$28</definedName>
    <definedName name="QB_ROW_1036360" localSheetId="4" hidden="1">'YTD US Profit and Loss'!$G$30</definedName>
    <definedName name="QB_ROW_1038260" localSheetId="3" hidden="1">'Oct 22 vs Oct 21 P&amp;L'!$G$49</definedName>
    <definedName name="QB_ROW_1038260" localSheetId="4" hidden="1">'YTD US Profit and Loss'!$G$81</definedName>
    <definedName name="QB_ROW_1039270" localSheetId="4" hidden="1">'YTD US Profit and Loss'!$H$29</definedName>
    <definedName name="QB_ROW_104250" localSheetId="3" hidden="1">'Oct 22 vs Oct 21 P&amp;L'!$F$61</definedName>
    <definedName name="QB_ROW_104250" localSheetId="4" hidden="1">'YTD US Profit and Loss'!$F$98</definedName>
    <definedName name="QB_ROW_1050240" localSheetId="1" hidden="1">'US Balance Sheet Year over Year'!$E$57</definedName>
    <definedName name="QB_ROW_1050240" localSheetId="10" hidden="1">'US Cash Flow stmt'!$E$17</definedName>
    <definedName name="QB_ROW_1057250" localSheetId="4" hidden="1">'YTD US Profit and Loss'!$F$96</definedName>
    <definedName name="QB_ROW_1058250" localSheetId="3" hidden="1">'Oct 22 vs Oct 21 P&amp;L'!$F$68</definedName>
    <definedName name="QB_ROW_1058250" localSheetId="4" hidden="1">'YTD US Profit and Loss'!$F$105</definedName>
    <definedName name="QB_ROW_1092040" localSheetId="3" hidden="1">'Oct 22 vs Oct 21 P&amp;L'!$E$7</definedName>
    <definedName name="QB_ROW_1092040" localSheetId="4" hidden="1">'YTD US Profit and Loss'!$E$11</definedName>
    <definedName name="QB_ROW_1092250" localSheetId="3" hidden="1">'Oct 22 vs Oct 21 P&amp;L'!#REF!</definedName>
    <definedName name="QB_ROW_1092250" localSheetId="4" hidden="1">'YTD US Profit and Loss'!$F$19</definedName>
    <definedName name="QB_ROW_1092340" localSheetId="3" hidden="1">'Oct 22 vs Oct 21 P&amp;L'!$E$11</definedName>
    <definedName name="QB_ROW_1092340" localSheetId="4" hidden="1">'YTD US Profit and Loss'!$E$20</definedName>
    <definedName name="QB_ROW_1093250" localSheetId="4" hidden="1">'YTD US Profit and Loss'!$F$18</definedName>
    <definedName name="QB_ROW_1094250" localSheetId="3" hidden="1">'Oct 22 vs Oct 21 P&amp;L'!#REF!</definedName>
    <definedName name="QB_ROW_1094250" localSheetId="4" hidden="1">'YTD US Profit and Loss'!$F$17</definedName>
    <definedName name="QB_ROW_1095250" localSheetId="4" hidden="1">'YTD US Profit and Loss'!$F$16</definedName>
    <definedName name="QB_ROW_1096250" localSheetId="3" hidden="1">'Oct 22 vs Oct 21 P&amp;L'!#REF!</definedName>
    <definedName name="QB_ROW_1096250" localSheetId="4" hidden="1">'YTD US Profit and Loss'!$F$39</definedName>
    <definedName name="QB_ROW_1103250" localSheetId="3" hidden="1">'Oct 22 vs Oct 21 P&amp;L'!$F$20</definedName>
    <definedName name="QB_ROW_1103250" localSheetId="4" hidden="1">'YTD US Profit and Loss'!$F$38</definedName>
    <definedName name="QB_ROW_1107040" localSheetId="3" hidden="1">'Oct 22 vs Oct 21 P&amp;L'!$E$33</definedName>
    <definedName name="QB_ROW_1107040" localSheetId="4" hidden="1">'YTD US Profit and Loss'!$E$60</definedName>
    <definedName name="QB_ROW_1107250" localSheetId="3" hidden="1">'Oct 22 vs Oct 21 P&amp;L'!#REF!</definedName>
    <definedName name="QB_ROW_1107250" localSheetId="4" hidden="1">'YTD US Profit and Loss'!$F$84</definedName>
    <definedName name="QB_ROW_1107340" localSheetId="3" hidden="1">'Oct 22 vs Oct 21 P&amp;L'!$E$51</definedName>
    <definedName name="QB_ROW_1107340" localSheetId="4" hidden="1">'YTD US Profit and Loss'!$E$85</definedName>
    <definedName name="QB_ROW_1108040" localSheetId="3" hidden="1">'Oct 22 vs Oct 21 P&amp;L'!$E$29</definedName>
    <definedName name="QB_ROW_1108040" localSheetId="4" hidden="1">'YTD US Profit and Loss'!$E$54</definedName>
    <definedName name="QB_ROW_1108250" localSheetId="3" hidden="1">'Oct 22 vs Oct 21 P&amp;L'!$F$31</definedName>
    <definedName name="QB_ROW_1108250" localSheetId="4" hidden="1">'YTD US Profit and Loss'!$F$58</definedName>
    <definedName name="QB_ROW_1108340" localSheetId="3" hidden="1">'Oct 22 vs Oct 21 P&amp;L'!$E$32</definedName>
    <definedName name="QB_ROW_1108340" localSheetId="4" hidden="1">'YTD US Profit and Loss'!$E$59</definedName>
    <definedName name="QB_ROW_1115230" localSheetId="1" hidden="1">'US Balance Sheet Year over Year'!#REF!</definedName>
    <definedName name="QB_ROW_1116230" localSheetId="1" hidden="1">'US Balance Sheet Year over Year'!$D$35</definedName>
    <definedName name="QB_ROW_1116230" localSheetId="10" hidden="1">'US Cash Flow stmt'!$D$24</definedName>
    <definedName name="QB_ROW_1122250" localSheetId="3" hidden="1">'Oct 22 vs Oct 21 P&amp;L'!#REF!</definedName>
    <definedName name="QB_ROW_1122250" localSheetId="4" hidden="1">'YTD US Profit and Loss'!$F$55</definedName>
    <definedName name="QB_ROW_1126220" localSheetId="1" hidden="1">'US Balance Sheet Year over Year'!$C$29</definedName>
    <definedName name="QB_ROW_1129230" localSheetId="10" hidden="1">'US Cash Flow stmt'!$D$23</definedName>
    <definedName name="QB_ROW_113050" localSheetId="3" hidden="1">'Oct 22 vs Oct 21 P&amp;L'!$F$40</definedName>
    <definedName name="QB_ROW_113050" localSheetId="4" hidden="1">'YTD US Profit and Loss'!$F$67</definedName>
    <definedName name="QB_ROW_113260" localSheetId="4" hidden="1">'YTD US Profit and Loss'!$G$70</definedName>
    <definedName name="QB_ROW_113350" localSheetId="3" hidden="1">'Oct 22 vs Oct 21 P&amp;L'!$F$43</definedName>
    <definedName name="QB_ROW_113350" localSheetId="4" hidden="1">'YTD US Profit and Loss'!$F$71</definedName>
    <definedName name="QB_ROW_1136230" localSheetId="10" hidden="1">'US Cash Flow stmt'!$D$22</definedName>
    <definedName name="QB_ROW_1142250" localSheetId="1" hidden="1">'US Balance Sheet Year over Year'!$F$55</definedName>
    <definedName name="QB_ROW_1145240" localSheetId="10" hidden="1">'US Cash Flow stmt'!$E$16</definedName>
    <definedName name="QB_ROW_1145250" localSheetId="1" hidden="1">'US Balance Sheet Year over Year'!$F$54</definedName>
    <definedName name="QB_ROW_115260" localSheetId="3" hidden="1">'Oct 22 vs Oct 21 P&amp;L'!$G$41</definedName>
    <definedName name="QB_ROW_115260" localSheetId="4" hidden="1">'YTD US Profit and Loss'!$G$68</definedName>
    <definedName name="QB_ROW_1159250" localSheetId="1" hidden="1">'US Balance Sheet Year over Year'!$F$53</definedName>
    <definedName name="QB_ROW_1160240" localSheetId="1" hidden="1">'US Balance Sheet Year over Year'!$E$47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stmt'!$E$15</definedName>
    <definedName name="QB_ROW_1193040" localSheetId="3" hidden="1">'Oct 22 vs Oct 21 P&amp;L'!#REF!</definedName>
    <definedName name="QB_ROW_1193040" localSheetId="4" hidden="1">'YTD US Profit and Loss'!#REF!</definedName>
    <definedName name="QB_ROW_1193340" localSheetId="3" hidden="1">'Oct 22 vs Oct 21 P&amp;L'!#REF!</definedName>
    <definedName name="QB_ROW_1193340" localSheetId="4" hidden="1">'YTD US Profit and Loss'!#REF!</definedName>
    <definedName name="QB_ROW_1200240" localSheetId="4" hidden="1">'YTD US Profit and Loss'!$E$87</definedName>
    <definedName name="QB_ROW_12031" localSheetId="1" hidden="1">'US Balance Sheet Year over Year'!$D$46</definedName>
    <definedName name="QB_ROW_1213240" localSheetId="10" hidden="1">'US Cash Flow stmt'!$E$14</definedName>
    <definedName name="QB_ROW_1214230" localSheetId="1" hidden="1">'US Balance Sheet Year over Year'!$D$33</definedName>
    <definedName name="QB_ROW_1220" localSheetId="1" hidden="1">'US Balance Sheet Year over Year'!$C$63</definedName>
    <definedName name="QB_ROW_1220230" localSheetId="1" hidden="1">'US Balance Sheet Year over Year'!$D$32</definedName>
    <definedName name="QB_ROW_1220230" localSheetId="10" hidden="1">'US Cash Flow stmt'!$D$21</definedName>
    <definedName name="QB_ROW_1226250" localSheetId="4" hidden="1">'YTD US Profit and Loss'!$F$15</definedName>
    <definedName name="QB_ROW_1230" localSheetId="10" hidden="1">'US Cash Flow stmt'!$D$28</definedName>
    <definedName name="QB_ROW_1231240" localSheetId="10" hidden="1">'US Cash Flow stmt'!$E$13</definedName>
    <definedName name="QB_ROW_1231250" localSheetId="1" hidden="1">'US Balance Sheet Year over Year'!$F$51</definedName>
    <definedName name="QB_ROW_12331" localSheetId="1" hidden="1">'US Balance Sheet Year over Year'!$D$58</definedName>
    <definedName name="QB_ROW_1234230" localSheetId="1" hidden="1">'US Balance Sheet Year over Year'!$D$8</definedName>
    <definedName name="QB_ROW_1236220" localSheetId="1" hidden="1">'US Balance Sheet Year over Year'!$C$62</definedName>
    <definedName name="QB_ROW_1236230" localSheetId="10" hidden="1">'US Cash Flow stmt'!$D$27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'Oct 22 vs Oct 21 P&amp;L'!$E$6</definedName>
    <definedName name="QB_ROW_1239240" localSheetId="4" hidden="1">'YTD US Profit and Loss'!$E$7</definedName>
    <definedName name="QB_ROW_1240250" localSheetId="3" hidden="1">'Oct 22 vs Oct 21 P&amp;L'!#REF!</definedName>
    <definedName name="QB_ROW_1240250" localSheetId="4" hidden="1">'YTD US Profit and Loss'!$F$14</definedName>
    <definedName name="QB_ROW_1245240" localSheetId="10" hidden="1">'US Cash Flow stmt'!$E$12</definedName>
    <definedName name="QB_ROW_1246240" localSheetId="10" hidden="1">'US Cash Flow stmt'!$E$11</definedName>
    <definedName name="QB_ROW_1246250" localSheetId="1" hidden="1">'US Balance Sheet Year over Year'!$F$50</definedName>
    <definedName name="QB_ROW_1249240" localSheetId="10" hidden="1">'US Cash Flow stmt'!$E$10</definedName>
    <definedName name="QB_ROW_1249250" localSheetId="1" hidden="1">'US Balance Sheet Year over Year'!$F$49</definedName>
    <definedName name="QB_ROW_1255230" localSheetId="1" hidden="1">'US Balance Sheet Year over Year'!$D$31</definedName>
    <definedName name="QB_ROW_1256250" localSheetId="1" hidden="1">'US Balance Sheet Year over Year'!#REF!</definedName>
    <definedName name="QB_ROW_1257250" localSheetId="4" hidden="1">'YTD US Profit and Loss'!$F$90</definedName>
    <definedName name="QB_ROW_1258250" localSheetId="4" hidden="1">'YTD US Profit and Loss'!$F$91</definedName>
    <definedName name="QB_ROW_1259250" localSheetId="4" hidden="1">'YTD US Profit and Loss'!$F$12</definedName>
    <definedName name="QB_ROW_1260250" localSheetId="1" hidden="1">'US Balance Sheet Year over Year'!#REF!</definedName>
    <definedName name="QB_ROW_1261240" localSheetId="4" hidden="1">'YTD US Profit and Loss'!$E$5</definedName>
    <definedName name="QB_ROW_1262250" localSheetId="4" hidden="1">'YTD US Profit and Loss'!$F$46</definedName>
    <definedName name="QB_ROW_1263240" localSheetId="4" hidden="1">'YTD US Profit and Loss'!$E$53</definedName>
    <definedName name="QB_ROW_1264250" localSheetId="3" hidden="1">'Oct 22 vs Oct 21 P&amp;L'!#REF!</definedName>
    <definedName name="QB_ROW_1264250" localSheetId="4" hidden="1">'YTD US Profit and Loss'!#REF!</definedName>
    <definedName name="QB_ROW_1311" localSheetId="1" hidden="1">'US Balance Sheet Year over Year'!$B$17</definedName>
    <definedName name="QB_ROW_13250" localSheetId="3" hidden="1">'Oct 22 vs Oct 21 P&amp;L'!$F$44</definedName>
    <definedName name="QB_ROW_13250" localSheetId="4" hidden="1">'YTD US Profit and Loss'!$F$73</definedName>
    <definedName name="QB_ROW_133250" localSheetId="3" hidden="1">'Oct 22 vs Oct 21 P&amp;L'!$F$39</definedName>
    <definedName name="QB_ROW_133250" localSheetId="4" hidden="1">'YTD US Profit and Loss'!$F$66</definedName>
    <definedName name="QB_ROW_1367210" localSheetId="12" hidden="1">'Open AR'!$B$9</definedName>
    <definedName name="QB_ROW_14011" localSheetId="1" hidden="1">'US Balance Sheet Year over Year'!$B$61</definedName>
    <definedName name="QB_ROW_14311" localSheetId="1" hidden="1">'US Balance Sheet Year over Year'!$B$65</definedName>
    <definedName name="QB_ROW_1455210" localSheetId="11" hidden="1">'Open AP'!$B$29</definedName>
    <definedName name="QB_ROW_15040" localSheetId="3" hidden="1">'Oct 22 vs Oct 21 P&amp;L'!$E$64</definedName>
    <definedName name="QB_ROW_15040" localSheetId="4" hidden="1">'YTD US Profit and Loss'!$E$101</definedName>
    <definedName name="QB_ROW_15250" localSheetId="4" hidden="1">'YTD US Profit and Loss'!$F$106</definedName>
    <definedName name="QB_ROW_153260" localSheetId="3" hidden="1">'Oct 22 vs Oct 21 P&amp;L'!$G$42</definedName>
    <definedName name="QB_ROW_153260" localSheetId="4" hidden="1">'YTD US Profit and Loss'!$G$69</definedName>
    <definedName name="QB_ROW_15340" localSheetId="3" hidden="1">'Oct 22 vs Oct 21 P&amp;L'!$E$69</definedName>
    <definedName name="QB_ROW_15340" localSheetId="4" hidden="1">'YTD US Profit and Loss'!$E$107</definedName>
    <definedName name="QB_ROW_1570210" localSheetId="11" hidden="1">'Open AP'!$B$28</definedName>
    <definedName name="QB_ROW_16250" localSheetId="3" hidden="1">'Oct 22 vs Oct 21 P&amp;L'!$F$66</definedName>
    <definedName name="QB_ROW_16250" localSheetId="4" hidden="1">'YTD US Profit and Loss'!$F$103</definedName>
    <definedName name="QB_ROW_1644210" localSheetId="12" hidden="1">'Open AR'!$B$23</definedName>
    <definedName name="QB_ROW_169250" localSheetId="3" hidden="1">'Oct 22 vs Oct 21 P&amp;L'!#REF!</definedName>
    <definedName name="QB_ROW_169250" localSheetId="4" hidden="1">'YTD US Profit and Loss'!$F$75</definedName>
    <definedName name="QB_ROW_17221" localSheetId="1" hidden="1">'US Balance Sheet Year over Year'!$C$64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'Oct 22 vs Oct 21 P&amp;L'!$A$73</definedName>
    <definedName name="QB_ROW_18301" localSheetId="4" hidden="1">'YTD US Profit and Loss'!$A$114</definedName>
    <definedName name="QB_ROW_19011" localSheetId="3" hidden="1">'Oct 22 vs Oct 21 P&amp;L'!$B$3</definedName>
    <definedName name="QB_ROW_19011" localSheetId="4" hidden="1">'YTD US Profit and Loss'!$B$3</definedName>
    <definedName name="QB_ROW_19311" localSheetId="3" hidden="1">'Oct 22 vs Oct 21 P&amp;L'!$B$72</definedName>
    <definedName name="QB_ROW_19311" localSheetId="4" hidden="1">'YTD US Profit and Loss'!$B$113</definedName>
    <definedName name="QB_ROW_20031" localSheetId="3" hidden="1">'Oct 22 vs Oct 21 P&amp;L'!$D$4</definedName>
    <definedName name="QB_ROW_20031" localSheetId="4" hidden="1">'YTD US Profit and Loss'!$D$4</definedName>
    <definedName name="QB_ROW_2021" localSheetId="1" hidden="1">'US Balance Sheet Year over Year'!$C$5</definedName>
    <definedName name="QB_ROW_20331" localSheetId="3" hidden="1">'Oct 22 vs Oct 21 P&amp;L'!$D$26</definedName>
    <definedName name="QB_ROW_20331" localSheetId="4" hidden="1">'YTD US Profit and Loss'!$D$50</definedName>
    <definedName name="QB_ROW_2040" localSheetId="3" hidden="1">'Oct 22 vs Oct 21 P&amp;L'!$E$59</definedName>
    <definedName name="QB_ROW_2040" localSheetId="4" hidden="1">'YTD US Profit and Loss'!$E$95</definedName>
    <definedName name="QB_ROW_21031" localSheetId="3" hidden="1">'Oct 22 vs Oct 21 P&amp;L'!$D$28</definedName>
    <definedName name="QB_ROW_21031" localSheetId="4" hidden="1">'YTD US Profit and Loss'!$D$52</definedName>
    <definedName name="QB_ROW_21331" localSheetId="3" hidden="1">'Oct 22 vs Oct 21 P&amp;L'!$D$71</definedName>
    <definedName name="QB_ROW_21331" localSheetId="4" hidden="1">'YTD US Profit and Loss'!$D$112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'Oct 22 vs Oct 21 P&amp;L'!$E$63</definedName>
    <definedName name="QB_ROW_2340" localSheetId="4" hidden="1">'YTD US Profit and Loss'!$E$100</definedName>
    <definedName name="QB_ROW_2395210" localSheetId="11" hidden="1">'Open AP'!$B$10</definedName>
    <definedName name="QB_ROW_2412210" localSheetId="11" hidden="1">'Open AP'!$B$26</definedName>
    <definedName name="QB_ROW_2645210" localSheetId="12" hidden="1">'Open AR'!$B$14</definedName>
    <definedName name="QB_ROW_2680210" localSheetId="11" hidden="1">'Open AP'!$B$24</definedName>
    <definedName name="QB_ROW_2697210" localSheetId="12" hidden="1">'Open AR'!#REF!</definedName>
    <definedName name="QB_ROW_2705210" localSheetId="11" hidden="1">'Open AP'!$B$7</definedName>
    <definedName name="QB_ROW_27240" localSheetId="3" hidden="1">'Oct 22 vs Oct 21 P&amp;L'!$E$5</definedName>
    <definedName name="QB_ROW_27240" localSheetId="4" hidden="1">'YTD US Profit and Loss'!$E$6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AP'!$B$27</definedName>
    <definedName name="QB_ROW_2812210" localSheetId="11" hidden="1">'Open AP'!$B$11</definedName>
    <definedName name="QB_ROW_30050" localSheetId="3" hidden="1">'Oct 22 vs Oct 21 P&amp;L'!$F$46</definedName>
    <definedName name="QB_ROW_30050" localSheetId="4" hidden="1">'YTD US Profit and Loss'!$F$78</definedName>
    <definedName name="QB_ROW_301" localSheetId="1" hidden="1">'US Balance Sheet Year over Year'!$A$39</definedName>
    <definedName name="QB_ROW_3021" localSheetId="1" hidden="1">'US Balance Sheet Year over Year'!$C$11</definedName>
    <definedName name="QB_ROW_30260" localSheetId="4" hidden="1">'YTD US Profit and Loss'!$G$82</definedName>
    <definedName name="QB_ROW_30350" localSheetId="3" hidden="1">'Oct 22 vs Oct 21 P&amp;L'!$F$50</definedName>
    <definedName name="QB_ROW_30350" localSheetId="4" hidden="1">'YTD US Profit and Loss'!$F$83</definedName>
    <definedName name="QB_ROW_3036210" localSheetId="11" hidden="1">'Open AP'!$B$23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AP'!$A$30</definedName>
    <definedName name="QB_ROW_3263210" localSheetId="12" hidden="1">'Open AR'!#REF!</definedName>
    <definedName name="QB_ROW_3313210" localSheetId="11" hidden="1">'Open AP'!$B$25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AP'!$B$18</definedName>
    <definedName name="QB_ROW_3580210" localSheetId="11" hidden="1">'Open AP'!$B$21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AP'!$B$20</definedName>
    <definedName name="QB_ROW_3616210" localSheetId="11" hidden="1">'Open AP'!$B$22</definedName>
    <definedName name="QB_ROW_4021" localSheetId="1" hidden="1">'US Balance Sheet Year over Year'!$C$14</definedName>
    <definedName name="QB_ROW_42240" localSheetId="4" hidden="1">'YTD US Profit and Loss'!$E$94</definedName>
    <definedName name="QB_ROW_4321" localSheetId="1" hidden="1">'US Balance Sheet Year over Year'!$C$16</definedName>
    <definedName name="QB_ROW_43250" localSheetId="3" hidden="1">'Oct 22 vs Oct 21 P&amp;L'!$F$36</definedName>
    <definedName name="QB_ROW_43250" localSheetId="4" hidden="1">'YTD US Profit and Loss'!$F$63</definedName>
    <definedName name="QB_ROW_49250" localSheetId="3" hidden="1">'Oct 22 vs Oct 21 P&amp;L'!$F$60</definedName>
    <definedName name="QB_ROW_49250" localSheetId="4" hidden="1">'YTD US Profit and Loss'!$F$97</definedName>
    <definedName name="QB_ROW_501021" localSheetId="10" hidden="1">'US Cash Flow stmt'!$C$2</definedName>
    <definedName name="QB_ROW_5011" localSheetId="1" hidden="1">'US Balance Sheet Year over Year'!$B$18</definedName>
    <definedName name="QB_ROW_501321" localSheetId="10" hidden="1">'US Cash Flow stmt'!$C$18</definedName>
    <definedName name="QB_ROW_502021" localSheetId="10" hidden="1">'US Cash Flow stmt'!$C$19</definedName>
    <definedName name="QB_ROW_502321" localSheetId="10" hidden="1">'US Cash Flow stmt'!$C$25</definedName>
    <definedName name="QB_ROW_503021" localSheetId="10" hidden="1">'US Cash Flow stmt'!$C$26</definedName>
    <definedName name="QB_ROW_503321" localSheetId="10" hidden="1">'US Cash Flow stmt'!$C$29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stmt'!$A$32</definedName>
    <definedName name="QB_ROW_512311" localSheetId="10" hidden="1">'US Cash Flow stmt'!$B$30</definedName>
    <definedName name="QB_ROW_513211" localSheetId="10" hidden="1">'US Cash Flow stmt'!$B$31</definedName>
    <definedName name="QB_ROW_523210" localSheetId="11" hidden="1">'Open AP'!$B$19</definedName>
    <definedName name="QB_ROW_5311" localSheetId="1" hidden="1">'US Balance Sheet Year over Year'!$B$27</definedName>
    <definedName name="QB_ROW_577240" localSheetId="3" hidden="1">'Oct 22 vs Oct 21 P&amp;L'!#REF!</definedName>
    <definedName name="QB_ROW_577240" localSheetId="4" hidden="1">'YTD US Profit and Loss'!$E$33</definedName>
    <definedName name="QB_ROW_6011" localSheetId="1" hidden="1">'US Balance Sheet Year over Year'!$B$28</definedName>
    <definedName name="QB_ROW_61250" localSheetId="3" hidden="1">'Oct 22 vs Oct 21 P&amp;L'!$F$37</definedName>
    <definedName name="QB_ROW_61250" localSheetId="4" hidden="1">'YTD US Profit and Loss'!$F$64</definedName>
    <definedName name="QB_ROW_619250" localSheetId="3" hidden="1">'Oct 22 vs Oct 21 P&amp;L'!$F$13</definedName>
    <definedName name="QB_ROW_619250" localSheetId="4" hidden="1">'YTD US Profit and Loss'!$F$22</definedName>
    <definedName name="QB_ROW_622250" localSheetId="3" hidden="1">'Oct 22 vs Oct 21 P&amp;L'!$F$14</definedName>
    <definedName name="QB_ROW_622250" localSheetId="4" hidden="1">'YTD US Profit and Loss'!$F$24</definedName>
    <definedName name="QB_ROW_6311" localSheetId="1" hidden="1">'US Balance Sheet Year over Year'!$B$38</definedName>
    <definedName name="QB_ROW_63240" localSheetId="1" hidden="1">'US Balance Sheet Year over Year'!$E$44</definedName>
    <definedName name="QB_ROW_63240" localSheetId="10" hidden="1">'US Cash Flow stmt'!$E$7</definedName>
    <definedName name="QB_ROW_64020" localSheetId="1" hidden="1">'US Balance Sheet Year over Year'!$C$23</definedName>
    <definedName name="QB_ROW_64230" localSheetId="1" hidden="1">'US Balance Sheet Year over Year'!$D$25</definedName>
    <definedName name="QB_ROW_64320" localSheetId="1" hidden="1">'US Balance Sheet Year over Year'!$C$26</definedName>
    <definedName name="QB_ROW_65020" localSheetId="1" hidden="1">'US Balance Sheet Year over Year'!$C$19</definedName>
    <definedName name="QB_ROW_650250" localSheetId="3" hidden="1">'Oct 22 vs Oct 21 P&amp;L'!$F$35</definedName>
    <definedName name="QB_ROW_650250" localSheetId="4" hidden="1">'YTD US Profit and Loss'!$F$62</definedName>
    <definedName name="QB_ROW_65230" localSheetId="1" hidden="1">'US Balance Sheet Year over Year'!$D$21</definedName>
    <definedName name="QB_ROW_65320" localSheetId="1" hidden="1">'US Balance Sheet Year over Year'!$C$22</definedName>
    <definedName name="QB_ROW_673250" localSheetId="3" hidden="1">'Oct 22 vs Oct 21 P&amp;L'!$F$45</definedName>
    <definedName name="QB_ROW_673250" localSheetId="4" hidden="1">'YTD US Profit and Loss'!$F$76</definedName>
    <definedName name="QB_ROW_674250" localSheetId="3" hidden="1">'Oct 22 vs Oct 21 P&amp;L'!$F$34</definedName>
    <definedName name="QB_ROW_674250" localSheetId="4" hidden="1">'YTD US Profit and Loss'!$F$61</definedName>
    <definedName name="QB_ROW_68250" localSheetId="4" hidden="1">'YTD US Profit and Loss'!$F$72</definedName>
    <definedName name="QB_ROW_69240" localSheetId="3" hidden="1">'Oct 22 vs Oct 21 P&amp;L'!$E$52</definedName>
    <definedName name="QB_ROW_69240" localSheetId="4" hidden="1">'YTD US Profit and Loss'!$E$86</definedName>
    <definedName name="QB_ROW_7001" localSheetId="1" hidden="1">'US Balance Sheet Year over Year'!$A$40</definedName>
    <definedName name="QB_ROW_72260" localSheetId="3" hidden="1">'Oct 22 vs Oct 21 P&amp;L'!$G$48</definedName>
    <definedName name="QB_ROW_72260" localSheetId="4" hidden="1">'YTD US Profit and Loss'!$G$80</definedName>
    <definedName name="QB_ROW_7301" localSheetId="1" hidden="1">'US Balance Sheet Year over Year'!$A$66</definedName>
    <definedName name="QB_ROW_738020" localSheetId="1" hidden="1">'US Balance Sheet Year over Year'!$C$30</definedName>
    <definedName name="QB_ROW_738230" localSheetId="1" hidden="1">'US Balance Sheet Year over Year'!$D$36</definedName>
    <definedName name="QB_ROW_738230" localSheetId="10" hidden="1">'US Cash Flow stmt'!$D$20</definedName>
    <definedName name="QB_ROW_738320" localSheetId="1" hidden="1">'US Balance Sheet Year over Year'!$C$37</definedName>
    <definedName name="QB_ROW_74230" localSheetId="1" hidden="1">'US Balance Sheet Year over Year'!$D$12</definedName>
    <definedName name="QB_ROW_74240" localSheetId="10" hidden="1">'US Cash Flow stmt'!$E$6</definedName>
    <definedName name="QB_ROW_75040" localSheetId="4" hidden="1">'YTD US Profit and Loss'!$E$34</definedName>
    <definedName name="QB_ROW_75340" localSheetId="4" hidden="1">'YTD US Profit and Loss'!$E$36</definedName>
    <definedName name="QB_ROW_758210" localSheetId="12" hidden="1">'Open AR'!$B$21</definedName>
    <definedName name="QB_ROW_77040" localSheetId="3" hidden="1">'Oct 22 vs Oct 21 P&amp;L'!$E$12</definedName>
    <definedName name="QB_ROW_77040" localSheetId="4" hidden="1">'YTD US Profit and Loss'!$E$21</definedName>
    <definedName name="QB_ROW_77340" localSheetId="3" hidden="1">'Oct 22 vs Oct 21 P&amp;L'!$E$15</definedName>
    <definedName name="QB_ROW_77340" localSheetId="4" hidden="1">'YTD US Profit and Loss'!$E$25</definedName>
    <definedName name="QB_ROW_78250" localSheetId="4" hidden="1">'YTD US Profit and Loss'!$F$74</definedName>
    <definedName name="QB_ROW_783260" localSheetId="3" hidden="1">'Oct 22 vs Oct 21 P&amp;L'!$G$47</definedName>
    <definedName name="QB_ROW_783260" localSheetId="4" hidden="1">'YTD US Profit and Loss'!$G$79</definedName>
    <definedName name="QB_ROW_8011" localSheetId="1" hidden="1">'US Balance Sheet Year over Year'!$B$41</definedName>
    <definedName name="QB_ROW_82230" localSheetId="1" hidden="1">'US Balance Sheet Year over Year'!$D$24</definedName>
    <definedName name="QB_ROW_8311" localSheetId="1" hidden="1">'US Balance Sheet Year over Year'!$B$60</definedName>
    <definedName name="QB_ROW_857040" localSheetId="1" hidden="1">'US Balance Sheet Year over Year'!$E$48</definedName>
    <definedName name="QB_ROW_857340" localSheetId="1" hidden="1">'US Balance Sheet Year over Year'!$E$56</definedName>
    <definedName name="QB_ROW_86321" localSheetId="3" hidden="1">'Oct 22 vs Oct 21 P&amp;L'!$C$27</definedName>
    <definedName name="QB_ROW_86321" localSheetId="4" hidden="1">'YTD US Profit and Loss'!$C$51</definedName>
    <definedName name="QB_ROW_869250" localSheetId="4" hidden="1">'YTD US Profit and Loss'!$F$35</definedName>
    <definedName name="QB_ROW_891350" localSheetId="3" hidden="1">'Oct 22 vs Oct 21 P&amp;L'!#REF!</definedName>
    <definedName name="QB_ROW_891350" localSheetId="4" hidden="1">'YTD US Profit and Loss'!$F$109</definedName>
    <definedName name="QB_ROW_9021" localSheetId="1" hidden="1">'US Balance Sheet Year over Year'!$C$42</definedName>
    <definedName name="QB_ROW_903250" localSheetId="3" hidden="1">'Oct 22 vs Oct 21 P&amp;L'!$F$67</definedName>
    <definedName name="QB_ROW_903250" localSheetId="4" hidden="1">'YTD US Profit and Loss'!$F$104</definedName>
    <definedName name="QB_ROW_904250" localSheetId="4" hidden="1">'YTD US Profit and Loss'!$F$102</definedName>
    <definedName name="QB_ROW_906250" localSheetId="4" hidden="1">'YTD US Profit and Loss'!$F$77</definedName>
    <definedName name="QB_ROW_907250" localSheetId="3" hidden="1">'Oct 22 vs Oct 21 P&amp;L'!$F$38</definedName>
    <definedName name="QB_ROW_907250" localSheetId="4" hidden="1">'YTD US Profit and Loss'!$F$65</definedName>
    <definedName name="QB_ROW_91040" localSheetId="3" hidden="1">'Oct 22 vs Oct 21 P&amp;L'!$E$19</definedName>
    <definedName name="QB_ROW_91040" localSheetId="4" hidden="1">'YTD US Profit and Loss'!$E$37</definedName>
    <definedName name="QB_ROW_911040" localSheetId="4" hidden="1">'YTD US Profit and Loss'!$E$42</definedName>
    <definedName name="QB_ROW_911340" localSheetId="4" hidden="1">'YTD US Profit and Loss'!$E$44</definedName>
    <definedName name="QB_ROW_91250" localSheetId="3" hidden="1">'Oct 22 vs Oct 21 P&amp;L'!$F$21</definedName>
    <definedName name="QB_ROW_91250" localSheetId="4" hidden="1">'YTD US Profit and Loss'!$F$40</definedName>
    <definedName name="QB_ROW_913040" localSheetId="4" hidden="1">'YTD US Profit and Loss'!$E$89</definedName>
    <definedName name="QB_ROW_913250" localSheetId="4" hidden="1">'YTD US Profit and Loss'!$F$92</definedName>
    <definedName name="QB_ROW_913340" localSheetId="3" hidden="1">'Oct 22 vs Oct 21 P&amp;L'!#REF!</definedName>
    <definedName name="QB_ROW_913340" localSheetId="4" hidden="1">'YTD US Profit and Loss'!$E$93</definedName>
    <definedName name="QB_ROW_91340" localSheetId="3" hidden="1">'Oct 22 vs Oct 21 P&amp;L'!$E$22</definedName>
    <definedName name="QB_ROW_91340" localSheetId="4" hidden="1">'YTD US Profit and Loss'!$E$41</definedName>
    <definedName name="QB_ROW_914040" localSheetId="3" hidden="1">'Oct 22 vs Oct 21 P&amp;L'!$E$70</definedName>
    <definedName name="QB_ROW_914040" localSheetId="4" hidden="1">'YTD US Profit and Loss'!$E$108</definedName>
    <definedName name="QB_ROW_914250" localSheetId="3" hidden="1">'Oct 22 vs Oct 21 P&amp;L'!#REF!</definedName>
    <definedName name="QB_ROW_914250" localSheetId="4" hidden="1">'YTD US Profit and Loss'!$F$110</definedName>
    <definedName name="QB_ROW_914340" localSheetId="3" hidden="1">'Oct 22 vs Oct 21 P&amp;L'!#REF!</definedName>
    <definedName name="QB_ROW_914340" localSheetId="4" hidden="1">'YTD US Profit and Loss'!$E$111</definedName>
    <definedName name="QB_ROW_915250" localSheetId="4" hidden="1">'YTD US Profit and Loss'!$F$23</definedName>
    <definedName name="QB_ROW_920250" localSheetId="4" hidden="1">'YTD US Profit and Loss'!$F$43</definedName>
    <definedName name="QB_ROW_922040" localSheetId="3" hidden="1">'Oct 22 vs Oct 21 P&amp;L'!$E$23</definedName>
    <definedName name="QB_ROW_922040" localSheetId="4" hidden="1">'YTD US Profit and Loss'!$E$45</definedName>
    <definedName name="QB_ROW_922250" localSheetId="4" hidden="1">'YTD US Profit and Loss'!$F$48</definedName>
    <definedName name="QB_ROW_922340" localSheetId="3" hidden="1">'Oct 22 vs Oct 21 P&amp;L'!$E$25</definedName>
    <definedName name="QB_ROW_922340" localSheetId="4" hidden="1">'YTD US Profit and Loss'!$E$49</definedName>
    <definedName name="QB_ROW_923250" localSheetId="3" hidden="1">'Oct 22 vs Oct 21 P&amp;L'!$F$24</definedName>
    <definedName name="QB_ROW_923250" localSheetId="4" hidden="1">'YTD US Profit and Loss'!$F$47</definedName>
    <definedName name="QB_ROW_9321" localSheetId="1" hidden="1">'US Balance Sheet Year over Year'!$C$59</definedName>
    <definedName name="QB_ROW_964250" localSheetId="3" hidden="1">'Oct 22 vs Oct 21 P&amp;L'!$F$30</definedName>
    <definedName name="QB_ROW_964250" localSheetId="4" hidden="1">'YTD US Profit and Loss'!$F$57</definedName>
    <definedName name="QB_ROW_983230" localSheetId="1" hidden="1">'US Balance Sheet Year over Year'!$D$20</definedName>
    <definedName name="QB_ROW_988230" localSheetId="1" hidden="1">'US Balance Sheet Year over Year'!$D$15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4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4">"R:\Qbooksw\OWASP\OWASP.QBW"</definedName>
    <definedName name="QBENDDATE" localSheetId="2">20210131</definedName>
    <definedName name="QBENDDATE" localSheetId="3">20220930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4">20220930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4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4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4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4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4">TRUE</definedName>
    <definedName name="QBPRESERVESPACE" localSheetId="2">FALSE</definedName>
    <definedName name="QBPRESERVESPACE" localSheetId="3">TRUE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4">TRUE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4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4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4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4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4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4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4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4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4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4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4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4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4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4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4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4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4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4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4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4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4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4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4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4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4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4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4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4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4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4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4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4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4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4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4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4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4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4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4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4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4">8</definedName>
    <definedName name="QBSTARTDATE" localSheetId="2">20210101</definedName>
    <definedName name="QBSTARTDATE" localSheetId="3">20220901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4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31" l="1"/>
  <c r="T134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100" i="30"/>
  <c r="T101" i="30"/>
  <c r="T102" i="30"/>
  <c r="T103" i="30"/>
  <c r="T104" i="30"/>
  <c r="T105" i="30"/>
  <c r="T106" i="30"/>
  <c r="T107" i="30"/>
  <c r="T108" i="30"/>
  <c r="T109" i="30"/>
  <c r="T110" i="30"/>
  <c r="T111" i="30"/>
  <c r="T112" i="30"/>
  <c r="T113" i="30"/>
  <c r="T114" i="30"/>
  <c r="T115" i="30"/>
  <c r="T116" i="30"/>
  <c r="T117" i="30"/>
  <c r="T118" i="30"/>
  <c r="T119" i="30"/>
  <c r="T120" i="30"/>
  <c r="T121" i="30"/>
  <c r="T122" i="30"/>
  <c r="T123" i="30"/>
  <c r="T124" i="30"/>
  <c r="T125" i="30"/>
  <c r="T126" i="30"/>
  <c r="T127" i="30"/>
  <c r="T128" i="30"/>
  <c r="T129" i="30"/>
  <c r="T130" i="30"/>
  <c r="T131" i="30"/>
  <c r="T132" i="30"/>
  <c r="T133" i="30"/>
  <c r="T3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7" i="30"/>
  <c r="H21" i="31"/>
  <c r="I85" i="36"/>
  <c r="H15" i="31"/>
  <c r="H19" i="31"/>
  <c r="H16" i="31"/>
  <c r="H18" i="31"/>
  <c r="H17" i="31"/>
  <c r="H14" i="31"/>
  <c r="H8" i="31"/>
  <c r="H10" i="31"/>
  <c r="E9" i="31"/>
  <c r="H9" i="31"/>
  <c r="H6" i="31"/>
  <c r="H5" i="31"/>
  <c r="I20" i="36"/>
  <c r="F20" i="31"/>
  <c r="F17" i="31"/>
  <c r="F21" i="31"/>
  <c r="F19" i="31"/>
  <c r="F18" i="31"/>
  <c r="F16" i="31"/>
  <c r="F15" i="31"/>
  <c r="F14" i="31"/>
  <c r="F10" i="31"/>
  <c r="G10" i="31" s="1"/>
  <c r="F9" i="31"/>
  <c r="F8" i="31"/>
  <c r="G8" i="31" s="1"/>
  <c r="F7" i="31"/>
  <c r="G7" i="31" s="1"/>
  <c r="F6" i="31"/>
  <c r="G6" i="31" s="1"/>
  <c r="F5" i="31"/>
  <c r="G5" i="31" s="1"/>
  <c r="E21" i="31"/>
  <c r="E20" i="31"/>
  <c r="E19" i="31"/>
  <c r="E18" i="31"/>
  <c r="E17" i="31"/>
  <c r="E15" i="31"/>
  <c r="E16" i="31"/>
  <c r="E14" i="31"/>
  <c r="Q76" i="37"/>
  <c r="Q75" i="37"/>
  <c r="Q74" i="37"/>
  <c r="Q73" i="37"/>
  <c r="Q72" i="37"/>
  <c r="Q70" i="37"/>
  <c r="Q69" i="37"/>
  <c r="Q68" i="37"/>
  <c r="Q67" i="37"/>
  <c r="Q66" i="37"/>
  <c r="E10" i="31"/>
  <c r="E8" i="31"/>
  <c r="G9" i="31" l="1"/>
  <c r="G11" i="31" s="1"/>
  <c r="H26" i="37"/>
  <c r="E11" i="31"/>
  <c r="E6" i="31"/>
  <c r="E5" i="31"/>
  <c r="G28" i="33" l="1"/>
  <c r="F28" i="33"/>
  <c r="E28" i="33"/>
  <c r="D28" i="33"/>
  <c r="C28" i="33"/>
  <c r="H28" i="33" s="1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G32" i="34"/>
  <c r="H32" i="34" s="1"/>
  <c r="F32" i="34"/>
  <c r="E32" i="34"/>
  <c r="D32" i="34"/>
  <c r="C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F29" i="39"/>
  <c r="F25" i="39"/>
  <c r="F18" i="39"/>
  <c r="F30" i="39" s="1"/>
  <c r="F32" i="39" s="1"/>
  <c r="I112" i="36"/>
  <c r="J112" i="36"/>
  <c r="L88" i="36"/>
  <c r="K88" i="36"/>
  <c r="I26" i="37"/>
  <c r="H27" i="37"/>
  <c r="H72" i="37" s="1"/>
  <c r="K70" i="37"/>
  <c r="J70" i="37"/>
  <c r="K68" i="37"/>
  <c r="J68" i="37"/>
  <c r="K67" i="37"/>
  <c r="J67" i="37"/>
  <c r="K66" i="37"/>
  <c r="J66" i="37"/>
  <c r="K65" i="37"/>
  <c r="J65" i="37"/>
  <c r="K62" i="37"/>
  <c r="J62" i="37"/>
  <c r="K61" i="37"/>
  <c r="J61" i="37"/>
  <c r="K60" i="37"/>
  <c r="J60" i="37"/>
  <c r="I58" i="37"/>
  <c r="H58" i="37"/>
  <c r="K57" i="37"/>
  <c r="J57" i="37"/>
  <c r="K56" i="37"/>
  <c r="J56" i="37"/>
  <c r="K54" i="37"/>
  <c r="J54" i="37"/>
  <c r="K53" i="37"/>
  <c r="J53" i="37"/>
  <c r="K52" i="37"/>
  <c r="J52" i="37"/>
  <c r="K49" i="37"/>
  <c r="J49" i="37"/>
  <c r="K48" i="37"/>
  <c r="J48" i="37"/>
  <c r="K47" i="37"/>
  <c r="J47" i="37"/>
  <c r="K45" i="37"/>
  <c r="J45" i="37"/>
  <c r="K44" i="37"/>
  <c r="J44" i="37"/>
  <c r="K42" i="37"/>
  <c r="J42" i="37"/>
  <c r="K41" i="37"/>
  <c r="J41" i="37"/>
  <c r="K39" i="37"/>
  <c r="J39" i="37"/>
  <c r="K38" i="37"/>
  <c r="J38" i="37"/>
  <c r="K37" i="37"/>
  <c r="J37" i="37"/>
  <c r="K36" i="37"/>
  <c r="J36" i="37"/>
  <c r="K35" i="37"/>
  <c r="J35" i="37"/>
  <c r="K34" i="37"/>
  <c r="J34" i="37"/>
  <c r="K31" i="37"/>
  <c r="J31" i="37"/>
  <c r="K30" i="37"/>
  <c r="J30" i="37"/>
  <c r="K24" i="37"/>
  <c r="J24" i="37"/>
  <c r="K21" i="37"/>
  <c r="J21" i="37"/>
  <c r="K20" i="37"/>
  <c r="J20" i="37"/>
  <c r="I18" i="37"/>
  <c r="H18" i="37"/>
  <c r="K17" i="37"/>
  <c r="J17" i="37"/>
  <c r="K14" i="37"/>
  <c r="J14" i="37"/>
  <c r="K13" i="37"/>
  <c r="J13" i="37"/>
  <c r="I11" i="37"/>
  <c r="H11" i="37"/>
  <c r="K10" i="37"/>
  <c r="J10" i="37"/>
  <c r="K9" i="37"/>
  <c r="J9" i="37"/>
  <c r="K8" i="37"/>
  <c r="J8" i="37"/>
  <c r="K6" i="37"/>
  <c r="J6" i="37"/>
  <c r="K5" i="37"/>
  <c r="J5" i="37"/>
  <c r="J9" i="38"/>
  <c r="I9" i="38"/>
  <c r="J8" i="38"/>
  <c r="I8" i="38"/>
  <c r="J7" i="38"/>
  <c r="I7" i="38"/>
  <c r="J6" i="38"/>
  <c r="I6" i="38"/>
  <c r="L110" i="36"/>
  <c r="K110" i="36"/>
  <c r="L109" i="36"/>
  <c r="K109" i="36"/>
  <c r="L106" i="36"/>
  <c r="K106" i="36"/>
  <c r="L105" i="36"/>
  <c r="K105" i="36"/>
  <c r="L104" i="36"/>
  <c r="K104" i="36"/>
  <c r="L103" i="36"/>
  <c r="K103" i="36"/>
  <c r="L102" i="36"/>
  <c r="K102" i="36"/>
  <c r="L99" i="36"/>
  <c r="K99" i="36"/>
  <c r="L98" i="36"/>
  <c r="K98" i="36"/>
  <c r="L97" i="36"/>
  <c r="K97" i="36"/>
  <c r="L96" i="36"/>
  <c r="K96" i="36"/>
  <c r="L92" i="36"/>
  <c r="K92" i="36"/>
  <c r="L91" i="36"/>
  <c r="K91" i="36"/>
  <c r="L90" i="36"/>
  <c r="K90" i="36"/>
  <c r="L87" i="36"/>
  <c r="K87" i="36"/>
  <c r="L86" i="36"/>
  <c r="K86" i="36"/>
  <c r="L84" i="36"/>
  <c r="K84" i="36"/>
  <c r="L82" i="36"/>
  <c r="K82" i="36"/>
  <c r="L81" i="36"/>
  <c r="K81" i="36"/>
  <c r="L80" i="36"/>
  <c r="K80" i="36"/>
  <c r="L79" i="36"/>
  <c r="K79" i="36"/>
  <c r="L77" i="36"/>
  <c r="K77" i="36"/>
  <c r="L76" i="36"/>
  <c r="K76" i="36"/>
  <c r="L75" i="36"/>
  <c r="K75" i="36"/>
  <c r="L74" i="36"/>
  <c r="K74" i="36"/>
  <c r="L73" i="36"/>
  <c r="K73" i="36"/>
  <c r="L72" i="36"/>
  <c r="K72" i="36"/>
  <c r="L70" i="36"/>
  <c r="K70" i="36"/>
  <c r="L69" i="36"/>
  <c r="K69" i="36"/>
  <c r="L68" i="36"/>
  <c r="K68" i="36"/>
  <c r="L66" i="36"/>
  <c r="K66" i="36"/>
  <c r="L65" i="36"/>
  <c r="K65" i="36"/>
  <c r="L64" i="36"/>
  <c r="K64" i="36"/>
  <c r="L63" i="36"/>
  <c r="K63" i="36"/>
  <c r="L62" i="36"/>
  <c r="K62" i="36"/>
  <c r="L61" i="36"/>
  <c r="K61" i="36"/>
  <c r="L58" i="36"/>
  <c r="K58" i="36"/>
  <c r="L57" i="36"/>
  <c r="K57" i="36"/>
  <c r="L56" i="36"/>
  <c r="K56" i="36"/>
  <c r="L55" i="36"/>
  <c r="K55" i="36"/>
  <c r="L53" i="36"/>
  <c r="K53" i="36"/>
  <c r="L48" i="36"/>
  <c r="K48" i="36"/>
  <c r="L47" i="36"/>
  <c r="K47" i="36"/>
  <c r="L46" i="36"/>
  <c r="K46" i="36"/>
  <c r="L40" i="36"/>
  <c r="K40" i="36"/>
  <c r="L39" i="36"/>
  <c r="K39" i="36"/>
  <c r="L38" i="36"/>
  <c r="K38" i="36"/>
  <c r="L35" i="36"/>
  <c r="K35" i="36"/>
  <c r="L24" i="36"/>
  <c r="K24" i="36"/>
  <c r="L23" i="36"/>
  <c r="K23" i="36"/>
  <c r="L22" i="36"/>
  <c r="K22" i="36"/>
  <c r="J20" i="36"/>
  <c r="L19" i="36"/>
  <c r="K19" i="36"/>
  <c r="L18" i="36"/>
  <c r="K18" i="36"/>
  <c r="L17" i="36"/>
  <c r="K17" i="36"/>
  <c r="L16" i="36"/>
  <c r="K16" i="36"/>
  <c r="L15" i="36"/>
  <c r="K15" i="36"/>
  <c r="L14" i="36"/>
  <c r="K14" i="36"/>
  <c r="L13" i="36"/>
  <c r="K13" i="36"/>
  <c r="L12" i="36"/>
  <c r="K12" i="36"/>
  <c r="J10" i="36"/>
  <c r="I10" i="36"/>
  <c r="K10" i="36" s="1"/>
  <c r="L9" i="36"/>
  <c r="K9" i="36"/>
  <c r="L7" i="36"/>
  <c r="K7" i="36"/>
  <c r="L6" i="36"/>
  <c r="K6" i="36"/>
  <c r="L5" i="36"/>
  <c r="K5" i="36"/>
  <c r="J64" i="38"/>
  <c r="I64" i="38"/>
  <c r="J63" i="38"/>
  <c r="I63" i="38"/>
  <c r="J62" i="38"/>
  <c r="I62" i="38"/>
  <c r="J57" i="38"/>
  <c r="I57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9" i="38"/>
  <c r="I49" i="38"/>
  <c r="J47" i="38"/>
  <c r="I47" i="38"/>
  <c r="J44" i="38"/>
  <c r="I44" i="38"/>
  <c r="J36" i="38"/>
  <c r="I36" i="38"/>
  <c r="J35" i="38"/>
  <c r="I35" i="38"/>
  <c r="J34" i="38"/>
  <c r="I34" i="38"/>
  <c r="J33" i="38"/>
  <c r="I33" i="38"/>
  <c r="J32" i="38"/>
  <c r="I32" i="38"/>
  <c r="J29" i="38"/>
  <c r="I29" i="38"/>
  <c r="I31" i="38"/>
  <c r="J31" i="38"/>
  <c r="J25" i="38"/>
  <c r="I25" i="38"/>
  <c r="J24" i="38"/>
  <c r="I24" i="38"/>
  <c r="J21" i="38"/>
  <c r="I21" i="38"/>
  <c r="J20" i="38"/>
  <c r="I20" i="38"/>
  <c r="J15" i="38"/>
  <c r="I15" i="38"/>
  <c r="J12" i="38"/>
  <c r="I12" i="38"/>
  <c r="K58" i="37" l="1"/>
  <c r="J58" i="37"/>
  <c r="K18" i="37"/>
  <c r="J18" i="37"/>
  <c r="J11" i="37"/>
  <c r="L10" i="36"/>
  <c r="L20" i="36"/>
  <c r="G10" i="38"/>
  <c r="H10" i="38"/>
  <c r="G13" i="38"/>
  <c r="H13" i="38"/>
  <c r="G16" i="38"/>
  <c r="H16" i="38"/>
  <c r="G22" i="38"/>
  <c r="H22" i="38"/>
  <c r="G26" i="38"/>
  <c r="H26" i="38"/>
  <c r="G37" i="38"/>
  <c r="H37" i="38"/>
  <c r="H38" i="38" s="1"/>
  <c r="G45" i="38"/>
  <c r="H45" i="38"/>
  <c r="G56" i="38"/>
  <c r="G58" i="38" s="1"/>
  <c r="H56" i="38"/>
  <c r="H58" i="38" s="1"/>
  <c r="G65" i="38"/>
  <c r="H65" i="38"/>
  <c r="I45" i="38" l="1"/>
  <c r="H59" i="38"/>
  <c r="H60" i="38" s="1"/>
  <c r="H66" i="38" s="1"/>
  <c r="I22" i="38"/>
  <c r="I65" i="38"/>
  <c r="I37" i="38"/>
  <c r="G27" i="38"/>
  <c r="I16" i="38"/>
  <c r="H27" i="38"/>
  <c r="I27" i="38" s="1"/>
  <c r="J65" i="38"/>
  <c r="I26" i="38"/>
  <c r="I13" i="38"/>
  <c r="I56" i="38"/>
  <c r="J22" i="38"/>
  <c r="I10" i="38"/>
  <c r="G38" i="38"/>
  <c r="J26" i="38"/>
  <c r="H17" i="38"/>
  <c r="J10" i="38"/>
  <c r="G59" i="38"/>
  <c r="I58" i="38"/>
  <c r="J58" i="38"/>
  <c r="J45" i="38"/>
  <c r="J16" i="38"/>
  <c r="J56" i="38"/>
  <c r="J37" i="38"/>
  <c r="J13" i="38"/>
  <c r="G17" i="38"/>
  <c r="I59" i="36"/>
  <c r="J27" i="38" l="1"/>
  <c r="H39" i="38"/>
  <c r="J38" i="38"/>
  <c r="I38" i="38"/>
  <c r="J17" i="38"/>
  <c r="I17" i="38"/>
  <c r="G39" i="38"/>
  <c r="G60" i="38"/>
  <c r="I59" i="38"/>
  <c r="J59" i="38"/>
  <c r="I69" i="37"/>
  <c r="H69" i="37"/>
  <c r="I63" i="37"/>
  <c r="H63" i="37"/>
  <c r="I50" i="37"/>
  <c r="H50" i="37"/>
  <c r="I43" i="37"/>
  <c r="H43" i="37"/>
  <c r="I32" i="37"/>
  <c r="H32" i="37"/>
  <c r="I25" i="37"/>
  <c r="H25" i="37"/>
  <c r="I22" i="37"/>
  <c r="H22" i="37"/>
  <c r="I15" i="37"/>
  <c r="H15" i="37"/>
  <c r="K50" i="37" l="1"/>
  <c r="H51" i="37"/>
  <c r="H71" i="37" s="1"/>
  <c r="I51" i="37"/>
  <c r="I71" i="37" s="1"/>
  <c r="I27" i="37"/>
  <c r="I60" i="38"/>
  <c r="G66" i="38"/>
  <c r="J60" i="38"/>
  <c r="I39" i="38"/>
  <c r="J39" i="38"/>
  <c r="K22" i="37"/>
  <c r="K32" i="37"/>
  <c r="K15" i="37"/>
  <c r="K25" i="37"/>
  <c r="K11" i="37"/>
  <c r="J22" i="37"/>
  <c r="J32" i="37"/>
  <c r="J43" i="37"/>
  <c r="J63" i="37"/>
  <c r="K63" i="37"/>
  <c r="J69" i="37"/>
  <c r="K43" i="37"/>
  <c r="J25" i="37"/>
  <c r="K69" i="37"/>
  <c r="J15" i="37"/>
  <c r="J50" i="37"/>
  <c r="J51" i="37" l="1"/>
  <c r="K51" i="37"/>
  <c r="I72" i="37"/>
  <c r="I73" i="37" s="1"/>
  <c r="J27" i="37"/>
  <c r="I66" i="38"/>
  <c r="J66" i="38"/>
  <c r="J71" i="37"/>
  <c r="K26" i="37"/>
  <c r="K71" i="37"/>
  <c r="J26" i="37"/>
  <c r="K27" i="37"/>
  <c r="K72" i="37" l="1"/>
  <c r="J72" i="37"/>
  <c r="H73" i="37"/>
  <c r="K73" i="37" s="1"/>
  <c r="J73" i="37" l="1"/>
  <c r="J111" i="36"/>
  <c r="I111" i="36"/>
  <c r="J107" i="36"/>
  <c r="I107" i="36"/>
  <c r="J100" i="36"/>
  <c r="I100" i="36"/>
  <c r="L94" i="36"/>
  <c r="K94" i="36"/>
  <c r="J93" i="36"/>
  <c r="I93" i="36"/>
  <c r="J83" i="36"/>
  <c r="I83" i="36"/>
  <c r="J71" i="36"/>
  <c r="I71" i="36"/>
  <c r="J59" i="36"/>
  <c r="J49" i="36"/>
  <c r="I49" i="36"/>
  <c r="J44" i="36"/>
  <c r="I44" i="36"/>
  <c r="L43" i="36"/>
  <c r="K43" i="36"/>
  <c r="J41" i="36"/>
  <c r="I41" i="36"/>
  <c r="J36" i="36"/>
  <c r="I36" i="36"/>
  <c r="L33" i="36"/>
  <c r="K33" i="36"/>
  <c r="J30" i="36"/>
  <c r="J31" i="36" s="1"/>
  <c r="J32" i="36" s="1"/>
  <c r="I30" i="36"/>
  <c r="L29" i="36"/>
  <c r="K29" i="36"/>
  <c r="J25" i="36"/>
  <c r="J50" i="36" s="1"/>
  <c r="I25" i="36"/>
  <c r="L30" i="36" l="1"/>
  <c r="L59" i="36"/>
  <c r="L49" i="36"/>
  <c r="L41" i="36"/>
  <c r="K71" i="36"/>
  <c r="L100" i="36"/>
  <c r="K25" i="36"/>
  <c r="L25" i="36"/>
  <c r="S79" i="36"/>
  <c r="S78" i="36"/>
  <c r="L83" i="36"/>
  <c r="L44" i="36"/>
  <c r="S77" i="36"/>
  <c r="J85" i="36"/>
  <c r="S82" i="36"/>
  <c r="L36" i="36"/>
  <c r="K49" i="36"/>
  <c r="L111" i="36"/>
  <c r="S83" i="36"/>
  <c r="S84" i="36"/>
  <c r="I31" i="36"/>
  <c r="K31" i="36" s="1"/>
  <c r="K41" i="36"/>
  <c r="L93" i="36"/>
  <c r="S76" i="36"/>
  <c r="S80" i="36"/>
  <c r="J51" i="36"/>
  <c r="L107" i="36"/>
  <c r="K83" i="36"/>
  <c r="K107" i="36"/>
  <c r="K59" i="36"/>
  <c r="K100" i="36"/>
  <c r="L71" i="36"/>
  <c r="K111" i="36"/>
  <c r="K20" i="36"/>
  <c r="K30" i="36"/>
  <c r="K36" i="36"/>
  <c r="K44" i="36"/>
  <c r="K93" i="36"/>
  <c r="I32" i="36" l="1"/>
  <c r="I50" i="36" s="1"/>
  <c r="J113" i="36"/>
  <c r="J114" i="36" s="1"/>
  <c r="L31" i="36"/>
  <c r="S85" i="36"/>
  <c r="O87" i="36"/>
  <c r="L32" i="36"/>
  <c r="K32" i="36"/>
  <c r="L85" i="36"/>
  <c r="K85" i="36"/>
  <c r="I51" i="36" l="1"/>
  <c r="L50" i="36"/>
  <c r="K50" i="36"/>
  <c r="L112" i="36"/>
  <c r="K112" i="36"/>
  <c r="K51" i="36" l="1"/>
  <c r="L51" i="36"/>
  <c r="I113" i="36"/>
  <c r="K113" i="36" l="1"/>
  <c r="I114" i="36"/>
  <c r="L113" i="36"/>
  <c r="L114" i="36" l="1"/>
  <c r="K114" i="36"/>
  <c r="M17" i="32" l="1"/>
  <c r="N17" i="32"/>
  <c r="L17" i="32"/>
  <c r="J13" i="31" l="1"/>
  <c r="K11" i="31"/>
  <c r="I10" i="31"/>
  <c r="I9" i="31"/>
  <c r="F22" i="31"/>
  <c r="G13" i="31"/>
  <c r="E22" i="31" l="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H26" i="31" l="1"/>
  <c r="J9" i="31"/>
  <c r="J10" i="31" l="1"/>
  <c r="H11" i="31"/>
  <c r="G146" i="29" l="1"/>
  <c r="G145" i="29"/>
  <c r="G144" i="29"/>
  <c r="G143" i="29"/>
  <c r="G142" i="29"/>
  <c r="G141" i="29"/>
  <c r="G140" i="29"/>
  <c r="G139" i="29"/>
  <c r="G138" i="29"/>
  <c r="H23" i="31" l="1"/>
  <c r="H24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W74" i="30"/>
  <c r="V74" i="30"/>
  <c r="S74" i="30"/>
  <c r="W73" i="30"/>
  <c r="V73" i="30"/>
  <c r="S73" i="30"/>
  <c r="W72" i="30"/>
  <c r="F72" i="30"/>
  <c r="G72" i="30" s="1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F64" i="30"/>
  <c r="G64" i="30" s="1"/>
  <c r="W63" i="30"/>
  <c r="V63" i="30"/>
  <c r="S63" i="30"/>
  <c r="W62" i="30"/>
  <c r="V62" i="30"/>
  <c r="S62" i="30"/>
  <c r="W61" i="30"/>
  <c r="F61" i="30"/>
  <c r="G61" i="30" s="1"/>
  <c r="W60" i="30"/>
  <c r="V60" i="30"/>
  <c r="S60" i="30"/>
  <c r="W59" i="30"/>
  <c r="X66" i="30" s="1"/>
  <c r="F59" i="30"/>
  <c r="K59" i="30" s="1"/>
  <c r="W58" i="30"/>
  <c r="V58" i="30"/>
  <c r="W57" i="30"/>
  <c r="V57" i="30"/>
  <c r="W56" i="30"/>
  <c r="V56" i="30"/>
  <c r="E54" i="30"/>
  <c r="S53" i="30"/>
  <c r="E53" i="30"/>
  <c r="S52" i="30"/>
  <c r="C52" i="30"/>
  <c r="F51" i="30"/>
  <c r="Q51" i="30" s="1"/>
  <c r="S50" i="30"/>
  <c r="S49" i="30"/>
  <c r="D49" i="30"/>
  <c r="F48" i="30"/>
  <c r="P48" i="30" s="1"/>
  <c r="S48" i="30" s="1"/>
  <c r="E48" i="30"/>
  <c r="W47" i="30"/>
  <c r="F47" i="30"/>
  <c r="O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S14" i="30" s="1"/>
  <c r="E14" i="30"/>
  <c r="F13" i="30"/>
  <c r="O13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F9" i="30"/>
  <c r="P9" i="30" s="1"/>
  <c r="W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O38" i="30" l="1"/>
  <c r="H134" i="30"/>
  <c r="AU134" i="30" s="1"/>
  <c r="BL127" i="30"/>
  <c r="AS9" i="30"/>
  <c r="G88" i="30"/>
  <c r="BJ18" i="30"/>
  <c r="BK18" i="30" s="1"/>
  <c r="V48" i="30"/>
  <c r="BL120" i="30"/>
  <c r="S72" i="30"/>
  <c r="P133" i="30"/>
  <c r="W133" i="30" s="1"/>
  <c r="G135" i="29"/>
  <c r="BL8" i="30"/>
  <c r="BC9" i="30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S88" i="30" l="1"/>
  <c r="AT88" i="30"/>
  <c r="BL88" i="30" s="1"/>
  <c r="BC133" i="30"/>
  <c r="BL9" i="30"/>
  <c r="Z131" i="30"/>
  <c r="BL17" i="30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F36" i="30"/>
  <c r="AS36" i="30" s="1"/>
  <c r="BL36" i="30" s="1"/>
  <c r="F65" i="30"/>
  <c r="G65" i="30" s="1"/>
  <c r="F123" i="30"/>
  <c r="F130" i="30"/>
  <c r="F12" i="30"/>
  <c r="L12" i="30" s="1"/>
  <c r="F91" i="30"/>
  <c r="F7" i="30"/>
  <c r="L7" i="30" s="1"/>
  <c r="F30" i="30"/>
  <c r="F18" i="30"/>
  <c r="F33" i="30"/>
  <c r="F42" i="30"/>
  <c r="F101" i="30"/>
  <c r="G101" i="30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F53" i="30"/>
  <c r="F76" i="30"/>
  <c r="G76" i="30" s="1"/>
  <c r="F111" i="30"/>
  <c r="G111" i="30" s="1"/>
  <c r="S46" i="30" l="1"/>
  <c r="I18" i="31"/>
  <c r="J18" i="31" s="1"/>
  <c r="I19" i="31"/>
  <c r="J19" i="31" s="1"/>
  <c r="I16" i="31"/>
  <c r="J16" i="31" s="1"/>
  <c r="I14" i="31"/>
  <c r="I5" i="31"/>
  <c r="S12" i="30"/>
  <c r="S128" i="30"/>
  <c r="G19" i="31"/>
  <c r="G14" i="31"/>
  <c r="G18" i="31"/>
  <c r="G124" i="30"/>
  <c r="AS124" i="30"/>
  <c r="AS33" i="30"/>
  <c r="BL33" i="30" s="1"/>
  <c r="G33" i="30"/>
  <c r="AS30" i="30"/>
  <c r="G30" i="30"/>
  <c r="AS123" i="30"/>
  <c r="G123" i="30"/>
  <c r="S101" i="30"/>
  <c r="V101" i="30"/>
  <c r="AS18" i="30"/>
  <c r="Q18" i="30"/>
  <c r="AS91" i="30"/>
  <c r="G91" i="30"/>
  <c r="V111" i="30"/>
  <c r="S111" i="30"/>
  <c r="V46" i="30"/>
  <c r="F129" i="30"/>
  <c r="G129" i="30" s="1"/>
  <c r="G34" i="30"/>
  <c r="AS34" i="30"/>
  <c r="S76" i="30"/>
  <c r="V76" i="30"/>
  <c r="Y82" i="30" s="1"/>
  <c r="G131" i="30"/>
  <c r="AS131" i="30"/>
  <c r="G42" i="30"/>
  <c r="F133" i="30"/>
  <c r="AS133" i="30" s="1"/>
  <c r="F38" i="30"/>
  <c r="AS7" i="30"/>
  <c r="AS130" i="30"/>
  <c r="G130" i="30"/>
  <c r="V65" i="30"/>
  <c r="Y66" i="30" s="1"/>
  <c r="S65" i="30"/>
  <c r="R54" i="30"/>
  <c r="R133" i="30" s="1"/>
  <c r="O54" i="30"/>
  <c r="L54" i="30"/>
  <c r="L133" i="30" s="1"/>
  <c r="AY133" i="30" s="1"/>
  <c r="I54" i="30"/>
  <c r="I6" i="31" l="1"/>
  <c r="O133" i="30"/>
  <c r="O134" i="30" s="1"/>
  <c r="BB134" i="30" s="1"/>
  <c r="I17" i="31"/>
  <c r="J17" i="31" s="1"/>
  <c r="I21" i="31"/>
  <c r="J21" i="31" s="1"/>
  <c r="I15" i="31"/>
  <c r="I20" i="31"/>
  <c r="I8" i="31"/>
  <c r="G15" i="31"/>
  <c r="J5" i="31"/>
  <c r="S129" i="30"/>
  <c r="J7" i="31"/>
  <c r="G17" i="31"/>
  <c r="J14" i="31"/>
  <c r="G21" i="31"/>
  <c r="F11" i="31"/>
  <c r="AS38" i="30"/>
  <c r="F134" i="30"/>
  <c r="AS134" i="30" s="1"/>
  <c r="AT32" i="30"/>
  <c r="BL32" i="30" s="1"/>
  <c r="V33" i="30"/>
  <c r="S33" i="30"/>
  <c r="BB133" i="30"/>
  <c r="V130" i="30"/>
  <c r="AT130" i="30"/>
  <c r="BL130" i="30" s="1"/>
  <c r="S130" i="30"/>
  <c r="V7" i="30"/>
  <c r="S7" i="30"/>
  <c r="AY7" i="30"/>
  <c r="BL7" i="30" s="1"/>
  <c r="L38" i="30"/>
  <c r="V34" i="30"/>
  <c r="AT34" i="30"/>
  <c r="BL34" i="30" s="1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AT30" i="30"/>
  <c r="BL30" i="30" s="1"/>
  <c r="S30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AT124" i="30"/>
  <c r="BL124" i="30" s="1"/>
  <c r="V124" i="30"/>
  <c r="S124" i="30"/>
  <c r="G136" i="30"/>
  <c r="AT136" i="30" s="1"/>
  <c r="I22" i="31" l="1"/>
  <c r="J15" i="31"/>
  <c r="G20" i="31"/>
  <c r="J6" i="31"/>
  <c r="I11" i="31"/>
  <c r="F23" i="31"/>
  <c r="F24" i="31" s="1"/>
  <c r="J8" i="31"/>
  <c r="AT38" i="30"/>
  <c r="G134" i="30"/>
  <c r="V38" i="30"/>
  <c r="X152" i="30"/>
  <c r="BD38" i="30"/>
  <c r="Q134" i="30"/>
  <c r="BD134" i="30" s="1"/>
  <c r="AT133" i="30"/>
  <c r="V133" i="30"/>
  <c r="S38" i="30"/>
  <c r="AV133" i="30"/>
  <c r="I134" i="30"/>
  <c r="AV134" i="30" s="1"/>
  <c r="S133" i="30"/>
  <c r="R135" i="30"/>
  <c r="BE135" i="30" s="1"/>
  <c r="BL135" i="30" s="1"/>
  <c r="BE134" i="30"/>
  <c r="AY38" i="30"/>
  <c r="L134" i="30"/>
  <c r="AY134" i="30" s="1"/>
  <c r="BL133" i="30" l="1"/>
  <c r="BL38" i="30"/>
  <c r="J11" i="31"/>
  <c r="J20" i="31"/>
  <c r="J22" i="31" s="1"/>
  <c r="I23" i="31"/>
  <c r="I24" i="31" s="1"/>
  <c r="J24" i="31" s="1"/>
  <c r="AT134" i="30"/>
  <c r="BL134" i="30" s="1"/>
  <c r="V134" i="30"/>
  <c r="S134" i="30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24" i="31" s="1"/>
  <c r="G16" i="31" l="1"/>
  <c r="G22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<sst xmlns="http://schemas.openxmlformats.org/spreadsheetml/2006/main" count="33388" uniqueCount="7897">
  <si>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</si>
  <si>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</si>
  <si>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</si>
  <si>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</si>
  <si>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</si>
  <si>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</si>
  <si>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</si>
  <si>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</si>
  <si>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</si>
  <si>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</si>
  <si>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</si>
  <si>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</si>
  <si>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</si>
  <si>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</si>
  <si>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</si>
  <si>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</si>
  <si>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</si>
  <si>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</si>
  <si>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</si>
  <si>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</si>
  <si>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</si>
  <si>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</si>
  <si>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</si>
  <si>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</si>
  <si>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</si>
  <si>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</si>
  <si>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</si>
  <si>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</si>
  <si>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</si>
  <si>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</si>
  <si>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</si>
  <si>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</si>
  <si>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</si>
  <si>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</si>
  <si>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</si>
  <si>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</si>
  <si>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</si>
  <si>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</si>
  <si>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</si>
  <si>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</si>
  <si>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</si>
  <si>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</si>
  <si>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</si>
  <si>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</si>
  <si>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</si>
  <si>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</si>
  <si>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</si>
  <si>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</si>
  <si>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</si>
  <si>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</si>
  <si>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</si>
  <si>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</si>
  <si>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</si>
  <si>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</si>
  <si>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</si>
  <si>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</si>
  <si>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</si>
  <si>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</si>
  <si>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</si>
  <si>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</si>
  <si>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</si>
  <si>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</si>
  <si>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</si>
  <si>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</si>
  <si>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</si>
  <si>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</si>
  <si>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</si>
  <si>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</si>
  <si>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</si>
  <si>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</si>
  <si>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</si>
  <si>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</si>
  <si>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</si>
  <si>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</si>
  <si>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</si>
  <si>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</si>
  <si>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</si>
  <si>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</si>
  <si>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</si>
  <si>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</si>
  <si>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</si>
  <si>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</si>
  <si>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</si>
  <si>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</si>
  <si>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</si>
  <si>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</si>
  <si>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</si>
  <si>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</si>
  <si>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</si>
  <si>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</si>
  <si>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</si>
  <si>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</si>
  <si>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</si>
  <si>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</si>
  <si>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</si>
  <si>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</si>
  <si>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</si>
  <si>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</si>
  <si>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</si>
  <si>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</si>
  <si>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</si>
  <si>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</si>
  <si>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</si>
  <si>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</si>
  <si>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</si>
  <si>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</si>
  <si>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</si>
  <si>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</si>
  <si>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</si>
  <si>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</si>
  <si>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</si>
  <si>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</si>
  <si>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</si>
  <si>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</si>
  <si>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</si>
  <si>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</si>
  <si>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</si>
  <si>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</si>
  <si>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</si>
  <si>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</si>
  <si>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</si>
  <si>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</si>
  <si>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</si>
  <si>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</si>
  <si>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</si>
  <si>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</si>
  <si>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</si>
  <si>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</si>
  <si>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</si>
  <si>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</si>
  <si>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</si>
  <si>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</si>
  <si>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</si>
  <si>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</si>
  <si>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</si>
  <si>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</si>
  <si>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</si>
  <si>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</si>
  <si>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</si>
  <si>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</si>
  <si>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</si>
  <si>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</si>
  <si>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</si>
  <si>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</si>
  <si>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</si>
  <si>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</si>
  <si>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</si>
  <si>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</si>
  <si>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</si>
  <si>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</si>
  <si>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</si>
  <si>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</si>
  <si>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</si>
  <si>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</si>
  <si>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</si>
  <si>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</si>
  <si>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</si>
  <si>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</si>
  <si>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</si>
  <si>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</si>
  <si>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</si>
  <si>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</si>
  <si>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</si>
  <si>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</si>
  <si>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</si>
  <si>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</si>
  <si>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</si>
  <si>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</si>
  <si>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</si>
  <si>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</si>
  <si>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</si>
  <si>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</si>
  <si>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</si>
  <si>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</si>
  <si>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</si>
  <si>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</si>
  <si>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</si>
  <si>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</si>
  <si>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</si>
  <si>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</si>
  <si>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</si>
  <si>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</si>
  <si>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</si>
  <si>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</si>
  <si>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</si>
  <si>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</si>
  <si>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</si>
  <si>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</si>
  <si>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</si>
  <si>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</si>
  <si>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</si>
  <si>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</si>
  <si>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</si>
  <si>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</si>
  <si>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</si>
  <si>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</si>
  <si>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</si>
  <si>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</si>
  <si>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</si>
  <si>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</si>
  <si>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</si>
  <si>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</si>
  <si>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</si>
  <si>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</si>
  <si>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</si>
  <si>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</si>
  <si>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</si>
  <si>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</si>
  <si>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</si>
  <si>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</si>
  <si>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</si>
  <si>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</si>
  <si>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</si>
  <si>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</si>
  <si>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</si>
  <si>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</si>
  <si>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</si>
  <si>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</si>
  <si>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</si>
  <si>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</si>
  <si>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</si>
  <si>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</si>
  <si>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</si>
  <si>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</si>
  <si>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</si>
  <si>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</si>
  <si>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</si>
  <si>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</si>
  <si>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</si>
  <si>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</si>
  <si>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</si>
  <si>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</si>
  <si>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</si>
  <si>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</si>
  <si>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</si>
  <si>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</si>
  <si>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</si>
  <si>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</si>
  <si>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</si>
  <si>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</si>
  <si>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</si>
  <si>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</si>
  <si>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</si>
  <si>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</si>
  <si>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</si>
  <si>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</si>
  <si>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</si>
  <si>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</si>
  <si>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</si>
  <si>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</si>
  <si>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</si>
  <si>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</si>
  <si>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</si>
  <si>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</si>
  <si>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</si>
  <si>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</si>
  <si>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</si>
  <si>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</si>
  <si>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</si>
  <si>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</si>
  <si>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</si>
  <si>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</si>
  <si>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</si>
  <si>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</si>
  <si>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</si>
  <si>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</si>
  <si>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</si>
  <si>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</si>
  <si>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</si>
  <si>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</si>
  <si>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</si>
  <si>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</si>
  <si>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</si>
  <si>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</si>
  <si>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</si>
  <si>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</si>
  <si>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</si>
  <si>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</si>
  <si>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</si>
  <si>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</si>
  <si>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</si>
  <si>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</si>
  <si>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</si>
  <si>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</si>
  <si>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</si>
  <si>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</si>
  <si>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</si>
  <si>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</si>
  <si>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</si>
  <si>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</si>
  <si>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</si>
  <si>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</si>
  <si>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</si>
  <si>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</si>
  <si>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</si>
  <si>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</si>
  <si>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</si>
  <si>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</si>
  <si>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</si>
  <si>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</si>
  <si>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</si>
  <si>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</si>
  <si>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</si>
  <si>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</si>
  <si>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</si>
  <si>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</si>
  <si>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</si>
  <si>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</si>
  <si>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</si>
  <si>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</si>
  <si>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</si>
  <si>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</si>
  <si>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</si>
  <si>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</si>
  <si>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</si>
  <si>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</si>
  <si>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</si>
  <si>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</si>
  <si>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</si>
  <si>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</si>
  <si>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</si>
  <si>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</si>
  <si>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</si>
  <si>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</si>
  <si>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</si>
  <si>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</si>
  <si>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</si>
  <si>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</si>
  <si>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</si>
  <si>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</si>
  <si>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</si>
  <si>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</si>
  <si>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</si>
  <si>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</si>
  <si>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</si>
  <si>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</si>
  <si>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</si>
  <si>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</si>
  <si>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</si>
  <si>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</si>
  <si>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</si>
  <si>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</si>
  <si>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</si>
  <si>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</si>
  <si>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</si>
  <si>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</si>
  <si>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</si>
  <si>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</si>
  <si>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</si>
  <si>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</si>
  <si>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</si>
  <si>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</si>
  <si>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</si>
  <si>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</si>
  <si>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</si>
  <si>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</si>
  <si>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</si>
  <si>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</si>
  <si>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</si>
  <si>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</si>
  <si>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</si>
  <si>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</si>
  <si>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</si>
  <si>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</si>
  <si>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</si>
  <si>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</si>
  <si>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</si>
  <si>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</si>
  <si>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</si>
  <si>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</si>
  <si>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</si>
  <si>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</si>
  <si>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</si>
  <si>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</si>
  <si>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</si>
  <si>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</si>
  <si>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</si>
  <si>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</si>
  <si>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</si>
  <si>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</si>
  <si>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</si>
  <si>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</si>
  <si>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</si>
  <si>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</si>
  <si>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</si>
  <si>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</si>
  <si>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</si>
  <si>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</si>
  <si>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</si>
  <si>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</si>
  <si>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</si>
  <si>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</si>
  <si>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</si>
  <si>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</si>
  <si>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</si>
  <si>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</si>
  <si>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</si>
  <si>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</si>
  <si>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</si>
  <si>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</si>
  <si>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</si>
  <si>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</si>
  <si>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</si>
  <si>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</si>
  <si>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</si>
  <si>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</si>
  <si>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</si>
  <si>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</si>
  <si>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</si>
  <si>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</si>
  <si>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</si>
  <si>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</si>
  <si>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</si>
  <si>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</si>
  <si>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</si>
  <si>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</si>
  <si>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</si>
  <si>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</si>
  <si>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</si>
  <si>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</si>
  <si>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</si>
  <si>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</si>
  <si>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</si>
  <si>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</si>
  <si>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</si>
  <si>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</si>
  <si>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</si>
  <si>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</si>
  <si>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</si>
  <si>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</si>
  <si>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</si>
  <si>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</si>
  <si>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</si>
  <si>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</si>
  <si>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</si>
  <si>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</si>
  <si>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</si>
  <si>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</si>
  <si>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</si>
  <si>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</si>
  <si>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</si>
  <si>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</si>
  <si>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</si>
  <si>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</si>
  <si>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</si>
  <si>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</si>
  <si>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</si>
  <si>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</si>
  <si>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</si>
  <si>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</si>
  <si>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</si>
  <si>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</si>
  <si>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</si>
  <si>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</si>
  <si>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</si>
  <si>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</si>
  <si>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</si>
  <si>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</si>
  <si>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</si>
  <si>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</si>
  <si>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</si>
  <si>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</si>
  <si>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</si>
  <si>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</si>
  <si>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</si>
  <si>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</si>
  <si>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</si>
  <si>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</si>
  <si>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</si>
  <si>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</si>
  <si>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</si>
  <si>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</si>
  <si>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</si>
  <si>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</si>
  <si>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</si>
  <si>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</si>
  <si>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</si>
  <si>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</si>
  <si>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</si>
  <si>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</si>
  <si>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</si>
  <si>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</si>
  <si>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</si>
  <si>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</si>
  <si>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</si>
  <si>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</si>
  <si>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</si>
  <si>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</si>
  <si>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</si>
  <si>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</si>
  <si>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</si>
  <si>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</si>
  <si>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</si>
  <si>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</si>
  <si>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</si>
  <si>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</si>
  <si>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</si>
  <si>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</si>
  <si>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</si>
  <si>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</si>
  <si>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</si>
  <si>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</si>
  <si>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</si>
  <si>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</si>
  <si>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</si>
  <si>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</si>
  <si>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</si>
  <si>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</si>
  <si>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</si>
  <si>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</si>
  <si>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</si>
  <si>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</si>
  <si>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</si>
  <si>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</si>
  <si>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</si>
  <si>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</si>
  <si>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</si>
  <si>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</si>
  <si>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</si>
  <si>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</si>
  <si>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</si>
  <si>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</si>
  <si>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</si>
  <si>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</si>
  <si>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</si>
  <si>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</si>
  <si>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</si>
  <si>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</si>
  <si>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</si>
  <si>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</si>
  <si>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</si>
  <si>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</si>
  <si>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</si>
  <si>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</si>
  <si>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</si>
  <si>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</si>
  <si>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</si>
  <si>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</si>
  <si>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</si>
  <si>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</si>
  <si>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</si>
  <si>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</si>
  <si>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</si>
  <si>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</si>
  <si>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</si>
  <si>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</si>
  <si>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</si>
  <si>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</si>
  <si>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</si>
  <si>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</si>
  <si>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</si>
  <si>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</si>
  <si>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</si>
  <si>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</si>
  <si>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</si>
  <si>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</si>
  <si>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</si>
  <si>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</si>
  <si>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</si>
  <si>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</si>
  <si>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</si>
  <si>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</si>
  <si>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</si>
  <si>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</si>
  <si>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</si>
  <si>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</si>
  <si>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</si>
  <si>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</si>
  <si>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</si>
  <si>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</si>
  <si>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</si>
  <si>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</si>
  <si>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</si>
  <si>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</si>
  <si>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</si>
  <si>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</si>
  <si>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</si>
  <si>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</si>
  <si>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</si>
  <si>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</si>
  <si>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</si>
  <si>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</si>
  <si>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</si>
  <si>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</si>
  <si>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</si>
  <si>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</si>
  <si>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</si>
  <si>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</si>
  <si>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</si>
  <si>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</si>
  <si>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</si>
  <si>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</si>
  <si>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</si>
  <si>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</si>
  <si>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</si>
  <si>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</si>
  <si>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</si>
  <si>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</si>
  <si>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</si>
  <si>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</si>
  <si>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</si>
  <si>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</si>
  <si>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</si>
  <si>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</si>
  <si>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</si>
  <si>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</si>
  <si>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</si>
  <si>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</si>
  <si>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</si>
  <si>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</si>
  <si>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</si>
  <si>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</si>
  <si>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</si>
  <si>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</si>
  <si>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</si>
  <si>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</si>
  <si>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</si>
  <si>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</si>
  <si>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</si>
  <si>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</si>
  <si>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</si>
  <si>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</si>
  <si>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</si>
  <si>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</si>
  <si>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</si>
  <si>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</si>
  <si>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</si>
  <si>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</si>
  <si>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</si>
  <si>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</si>
  <si>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</si>
  <si>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</si>
  <si>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</si>
  <si>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</si>
  <si>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</si>
  <si>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</si>
  <si>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</si>
  <si>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</si>
  <si>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</si>
  <si>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</si>
  <si>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</si>
  <si>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</si>
  <si>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</si>
  <si>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</si>
  <si>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</si>
  <si>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</si>
  <si>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</si>
  <si>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</si>
  <si>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</si>
  <si>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</si>
  <si>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</si>
  <si>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</si>
  <si>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</si>
  <si>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</si>
  <si>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</si>
  <si>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</si>
  <si>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</si>
  <si>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</si>
  <si>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</si>
  <si>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</si>
  <si>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</si>
  <si>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</si>
  <si>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</si>
  <si>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</si>
  <si>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</si>
  <si>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</si>
  <si>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</si>
  <si>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</si>
  <si>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</si>
  <si>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</si>
  <si>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</si>
  <si>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</si>
  <si>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</si>
  <si>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</si>
  <si>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</si>
  <si>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</si>
  <si>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</si>
  <si>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</si>
  <si>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</si>
  <si>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</si>
  <si>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</si>
  <si>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</si>
  <si>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</si>
  <si>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</si>
  <si>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</si>
  <si>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</si>
  <si>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</si>
  <si>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</si>
  <si>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</si>
  <si>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</si>
  <si>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</si>
  <si>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</si>
  <si>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</si>
  <si>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</si>
  <si>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</si>
  <si>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</si>
  <si>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</si>
  <si>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</si>
  <si>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</si>
  <si>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</si>
  <si>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</si>
  <si>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</si>
  <si>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</si>
  <si>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</si>
  <si>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</si>
  <si>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</si>
  <si>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</si>
  <si>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</si>
  <si>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</si>
  <si>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</si>
  <si>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</si>
  <si>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</si>
  <si>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</si>
  <si>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</si>
  <si>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</si>
  <si>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</si>
  <si>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</si>
  <si>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</si>
  <si>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</si>
  <si>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</si>
  <si>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</si>
  <si>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</si>
  <si>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</si>
  <si>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</si>
  <si>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</si>
  <si>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</si>
  <si>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</si>
  <si>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</si>
  <si>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</si>
  <si>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</si>
  <si>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</si>
  <si>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</si>
  <si>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</si>
  <si>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</si>
  <si>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</si>
  <si>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</si>
  <si>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</si>
  <si>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</si>
  <si>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</si>
  <si>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</si>
  <si>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</si>
  <si>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</si>
  <si>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</si>
  <si>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</si>
  <si>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</si>
  <si>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</si>
  <si>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</si>
  <si>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</si>
  <si>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</si>
  <si>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</si>
  <si>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</si>
  <si>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</si>
  <si>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</si>
  <si>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</si>
  <si>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</si>
  <si>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</si>
  <si>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</si>
  <si>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</si>
  <si>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</si>
  <si>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</si>
  <si>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</si>
  <si>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</si>
  <si>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</si>
  <si>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</si>
  <si>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</si>
  <si>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</si>
  <si>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</si>
  <si>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</si>
  <si>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</si>
  <si>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</si>
  <si>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</si>
  <si>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</si>
  <si>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</si>
  <si>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</si>
  <si>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</si>
  <si>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</si>
  <si>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</si>
  <si>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</si>
  <si>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</si>
  <si>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</si>
  <si>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</si>
  <si>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</si>
  <si>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</si>
  <si>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</si>
  <si>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</si>
  <si>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</si>
  <si>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</si>
  <si>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</si>
  <si>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</si>
  <si>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</si>
  <si>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</si>
  <si>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</si>
  <si>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</si>
  <si>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</si>
  <si>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</si>
  <si>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</si>
  <si>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</si>
  <si>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</si>
  <si>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</si>
  <si>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</si>
  <si>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</si>
  <si>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</si>
  <si>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</si>
  <si>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</si>
  <si>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</si>
  <si>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</si>
  <si>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</si>
  <si>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</si>
  <si>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</si>
  <si>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</si>
  <si>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</si>
  <si>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</si>
  <si>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</si>
  <si>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</si>
  <si>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</si>
  <si>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</si>
  <si>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</si>
  <si>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</si>
  <si>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</si>
  <si>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</si>
  <si>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</si>
  <si>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</si>
  <si>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</si>
  <si>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</si>
  <si>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</si>
  <si>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</si>
  <si>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</si>
  <si>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</si>
  <si>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</si>
  <si>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</si>
  <si>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</si>
  <si>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</si>
  <si>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</si>
  <si>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</si>
  <si>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</si>
  <si>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</si>
  <si>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</si>
  <si>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</si>
  <si>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</si>
  <si>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</si>
  <si>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</si>
  <si>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</si>
  <si>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</si>
  <si>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</si>
  <si>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</si>
  <si>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</si>
  <si>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</si>
  <si>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</si>
  <si>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</si>
  <si>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</si>
  <si>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</si>
  <si>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</si>
  <si>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</si>
  <si>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</si>
  <si>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</si>
  <si>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</si>
  <si>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</si>
  <si>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</si>
  <si>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</si>
  <si>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</si>
  <si>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</si>
  <si>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</si>
  <si>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</si>
  <si>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</si>
  <si>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</si>
  <si>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</si>
  <si>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</si>
  <si>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</si>
  <si>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</si>
  <si>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</si>
  <si>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</si>
  <si>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</si>
  <si>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</si>
  <si>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</si>
  <si>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</si>
  <si>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</si>
  <si>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</si>
  <si>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</si>
  <si>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</si>
  <si>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</si>
  <si>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</si>
  <si>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</si>
  <si>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</si>
  <si>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</si>
  <si>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</si>
  <si>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</si>
  <si>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</si>
  <si>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</si>
  <si>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</si>
  <si>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</si>
  <si>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</si>
  <si>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</si>
  <si>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</si>
  <si>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</si>
  <si>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</si>
  <si>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</si>
  <si>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</si>
  <si>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</si>
  <si>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</si>
  <si>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</si>
  <si>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</si>
  <si>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</si>
  <si>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</si>
  <si>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</si>
  <si>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</si>
  <si>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</si>
  <si>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</si>
  <si>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</si>
  <si>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</si>
  <si>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</si>
  <si>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</si>
  <si>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</si>
  <si>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</si>
  <si>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</si>
  <si>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</si>
  <si>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</si>
  <si>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</si>
  <si>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</si>
  <si>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</si>
  <si>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</si>
  <si>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</si>
  <si>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</si>
  <si>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</si>
  <si>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</si>
  <si>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</si>
  <si>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</si>
  <si>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</si>
  <si>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</si>
  <si>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</si>
  <si>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</si>
  <si>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</si>
  <si>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</si>
  <si>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</si>
  <si>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</si>
  <si>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</si>
  <si>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</si>
  <si>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</si>
  <si>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</si>
  <si>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</si>
  <si>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</si>
  <si>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</si>
  <si>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</si>
  <si>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</si>
  <si>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</si>
  <si>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</si>
  <si>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</si>
  <si>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</si>
  <si>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</si>
  <si>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</si>
  <si>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</si>
  <si>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</si>
  <si>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</si>
  <si>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</si>
  <si>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</si>
  <si>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</si>
  <si>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</si>
  <si>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</si>
  <si>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</si>
  <si>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</si>
  <si>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</si>
  <si>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</si>
  <si>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</si>
  <si>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</si>
  <si>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</si>
  <si>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</si>
  <si>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</si>
  <si>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</si>
  <si>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</si>
  <si>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</si>
  <si>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</si>
  <si>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</si>
  <si>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</si>
  <si>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</si>
  <si>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</si>
  <si>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</si>
  <si>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</si>
  <si>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</si>
  <si>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</si>
  <si>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</si>
  <si>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</si>
  <si>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</si>
  <si>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</si>
  <si>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</si>
  <si>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</si>
  <si>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</si>
  <si>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</si>
  <si>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</si>
  <si>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</si>
  <si>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</si>
  <si>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</si>
  <si>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</si>
  <si>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</si>
  <si>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</si>
  <si>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</si>
  <si>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</si>
  <si>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</si>
  <si>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</si>
  <si>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</si>
  <si>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</si>
  <si>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</si>
  <si>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</si>
  <si>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</si>
  <si>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</si>
  <si>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</si>
  <si>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</si>
  <si>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</si>
  <si>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</si>
  <si>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</si>
  <si>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</si>
  <si>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</si>
  <si>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</si>
  <si>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</si>
  <si>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</si>
  <si>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</si>
  <si>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</si>
  <si>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</si>
  <si>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</si>
  <si>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</si>
  <si>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</si>
  <si>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</si>
  <si>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</si>
  <si>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</si>
  <si>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</si>
  <si>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</si>
  <si>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</si>
  <si>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</si>
  <si>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</si>
  <si>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</si>
  <si>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</si>
  <si>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</si>
  <si>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</si>
  <si>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</si>
  <si>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</si>
  <si>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</si>
  <si>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</si>
  <si>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</si>
  <si>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</si>
  <si>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</si>
  <si>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</si>
  <si>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</si>
  <si>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</si>
  <si>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</si>
  <si>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</si>
  <si>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</si>
  <si>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</si>
  <si>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</si>
  <si>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</si>
  <si>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</si>
  <si>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</si>
  <si>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</si>
  <si>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</si>
  <si>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</si>
  <si>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</si>
  <si>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</si>
  <si>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</si>
  <si>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</si>
  <si>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</si>
  <si>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</si>
  <si>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</si>
  <si>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</si>
  <si>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</si>
  <si>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</si>
  <si>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</si>
  <si>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</si>
  <si>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</si>
  <si>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</si>
  <si>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</si>
  <si>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</si>
  <si>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</si>
  <si>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</si>
  <si>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</si>
  <si>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</si>
  <si>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</si>
  <si>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</si>
  <si>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</si>
  <si>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</si>
  <si>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</si>
  <si>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</si>
  <si>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</si>
  <si>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</si>
  <si>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</si>
  <si>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</si>
  <si>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</si>
  <si>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</si>
  <si>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</si>
  <si>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</si>
  <si>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</si>
  <si>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</si>
  <si>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</si>
  <si>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</si>
  <si>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</si>
  <si>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</si>
  <si>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</si>
  <si>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</si>
  <si>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</si>
  <si>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</si>
  <si>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</si>
  <si>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</si>
  <si>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</si>
  <si>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</si>
  <si>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</si>
  <si>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</si>
  <si>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</si>
  <si>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</si>
  <si>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</si>
  <si>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</si>
  <si>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</si>
  <si>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</si>
  <si>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</si>
  <si>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</si>
  <si>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</si>
  <si>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</si>
  <si>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</si>
  <si>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</si>
  <si>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</si>
  <si>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</si>
  <si>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</si>
  <si>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</si>
  <si>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</si>
  <si>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</si>
  <si>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</si>
  <si>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</si>
  <si>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</si>
  <si>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</si>
  <si>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</si>
  <si>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</si>
  <si>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</si>
  <si>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</si>
  <si>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</si>
  <si>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</si>
  <si>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</si>
  <si>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</si>
  <si>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</si>
  <si>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</si>
  <si>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</si>
  <si>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</si>
  <si>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</si>
  <si>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</si>
  <si>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</si>
  <si>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</si>
  <si>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</si>
  <si>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</si>
  <si>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</si>
  <si>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</si>
  <si>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</si>
  <si>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</si>
  <si>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</si>
  <si>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</si>
  <si>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</si>
  <si>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</si>
  <si>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</si>
  <si>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</si>
  <si>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</si>
  <si>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</si>
  <si>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</si>
  <si>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</si>
  <si>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</si>
  <si>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</si>
  <si>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</si>
  <si>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</si>
  <si>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</si>
  <si>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</si>
  <si>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</si>
  <si>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</si>
  <si>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</si>
  <si>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</si>
  <si>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</si>
  <si>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</si>
  <si>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</si>
  <si>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</si>
  <si>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</si>
  <si>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</si>
  <si>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</si>
  <si>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</si>
  <si>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</si>
  <si>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</si>
  <si>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</si>
  <si>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</si>
  <si>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</si>
  <si>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</si>
  <si>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</si>
  <si>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</si>
  <si>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</si>
  <si>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</si>
  <si>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</si>
  <si>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</si>
  <si>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</si>
  <si>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</si>
  <si>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</si>
  <si>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</si>
  <si>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</si>
  <si>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</si>
  <si>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</si>
  <si>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</si>
  <si>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</si>
  <si>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</si>
  <si>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</si>
  <si>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</si>
  <si>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</si>
  <si>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</si>
  <si>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</si>
  <si>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</si>
  <si>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</si>
  <si>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</si>
  <si>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</si>
  <si>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</si>
  <si>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</si>
  <si>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</si>
  <si>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</si>
  <si>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</si>
  <si>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</si>
  <si>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</si>
  <si>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</si>
  <si>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</si>
  <si>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</si>
  <si>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</si>
  <si>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</si>
  <si>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</si>
  <si>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</si>
  <si>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</si>
  <si>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</si>
  <si>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</si>
  <si>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</si>
  <si>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</si>
  <si>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</si>
  <si>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</si>
  <si>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</si>
  <si>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</si>
  <si>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</si>
  <si>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</si>
  <si>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</si>
  <si>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</si>
  <si>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</si>
  <si>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</si>
  <si>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</si>
  <si>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</si>
  <si>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</si>
  <si>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</si>
  <si>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</si>
  <si>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</si>
  <si>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</si>
  <si>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</si>
  <si>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</si>
  <si>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</si>
  <si>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</si>
  <si>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</si>
  <si>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</si>
  <si>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</si>
  <si>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</si>
  <si>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</si>
  <si>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</si>
  <si>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</si>
  <si>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</si>
  <si>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</si>
  <si>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</si>
  <si>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</si>
  <si>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</si>
  <si>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</si>
  <si>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</si>
  <si>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</si>
  <si>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</si>
  <si>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</si>
  <si>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</si>
  <si>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</si>
  <si>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</si>
  <si>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</si>
  <si>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</si>
  <si>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</si>
  <si>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</si>
  <si>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</si>
  <si>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</si>
  <si>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</si>
  <si>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</si>
  <si>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</si>
  <si>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</si>
  <si>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</si>
  <si>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</si>
  <si>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</si>
  <si>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</si>
  <si>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</si>
  <si>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</si>
  <si>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</si>
  <si>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</si>
  <si>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</si>
  <si>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</si>
  <si>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</si>
  <si>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</si>
  <si>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</si>
  <si>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</si>
  <si>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</si>
  <si>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</si>
  <si>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</si>
  <si>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</si>
  <si>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</si>
  <si>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</si>
  <si>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</si>
  <si>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</si>
  <si>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</si>
  <si>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</si>
  <si>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</si>
  <si>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</si>
  <si>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</si>
  <si>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</si>
  <si>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</si>
  <si>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</si>
  <si>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</si>
  <si>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</si>
  <si>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</si>
  <si>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</si>
  <si>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</si>
  <si>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</si>
  <si>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</si>
  <si>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</si>
  <si>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</si>
  <si>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</si>
  <si>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</si>
  <si>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</si>
  <si>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</si>
  <si>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</si>
  <si>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</si>
  <si>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</si>
  <si>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</si>
  <si>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</si>
  <si>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</si>
  <si>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</si>
  <si>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</si>
  <si>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</si>
  <si>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</si>
  <si>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</si>
  <si>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</si>
  <si>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</si>
  <si>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</si>
  <si>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</si>
  <si>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</si>
  <si>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</si>
  <si>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</si>
  <si>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</si>
  <si>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</si>
  <si>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</si>
  <si>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</si>
  <si>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</si>
  <si>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</si>
  <si>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</si>
  <si>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</si>
  <si>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</si>
  <si>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</si>
  <si>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</si>
  <si>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</si>
  <si>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</si>
  <si>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</si>
  <si>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</si>
  <si>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</si>
  <si>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</si>
  <si>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</si>
  <si>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</si>
  <si>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</si>
  <si>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</si>
  <si>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</si>
  <si>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</si>
  <si>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</si>
  <si>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</si>
  <si>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</si>
  <si>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</si>
  <si>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</si>
  <si>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</si>
  <si>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</si>
  <si>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</si>
  <si>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</si>
  <si>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</si>
  <si>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</si>
  <si>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</si>
  <si>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</si>
  <si>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</si>
  <si>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</si>
  <si>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</si>
  <si>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</si>
  <si>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</si>
  <si>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</si>
  <si>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</si>
  <si>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</si>
  <si>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</si>
  <si>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</si>
  <si>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</si>
  <si>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</si>
  <si>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</si>
  <si>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</si>
  <si>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</si>
  <si>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</si>
  <si>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</si>
  <si>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</si>
  <si>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</si>
  <si>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</si>
  <si>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</si>
  <si>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</si>
  <si>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</si>
  <si>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</si>
  <si>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</si>
  <si>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</si>
  <si>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</si>
  <si>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</si>
  <si>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</si>
  <si>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</si>
  <si>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</si>
  <si>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</si>
  <si>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</si>
  <si>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</si>
  <si>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</si>
  <si>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</si>
  <si>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</si>
  <si>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</si>
  <si>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</si>
  <si>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</si>
  <si>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</si>
  <si>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</si>
  <si>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</si>
  <si>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</si>
  <si>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</si>
  <si>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</si>
  <si>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</si>
  <si>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</si>
  <si>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</si>
  <si>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</si>
  <si>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</si>
  <si>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</si>
  <si>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</si>
  <si>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</si>
  <si>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</si>
  <si>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</si>
  <si>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</si>
  <si>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</si>
  <si>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</si>
  <si>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</si>
  <si>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</si>
  <si>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</si>
  <si>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</si>
  <si>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</si>
  <si>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</si>
  <si>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</si>
  <si>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</si>
  <si>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</si>
  <si>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</si>
  <si>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</si>
  <si>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</si>
  <si>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</si>
  <si>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</si>
  <si>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</si>
  <si>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</si>
  <si>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</si>
  <si>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</si>
  <si>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</si>
  <si>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</si>
  <si>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</si>
  <si>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</si>
  <si>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</si>
  <si>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</si>
  <si>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</si>
  <si>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</si>
  <si>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</si>
  <si>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</si>
  <si>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</si>
  <si>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</si>
  <si>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</si>
  <si>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</si>
  <si>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</si>
  <si>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</si>
  <si>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</si>
  <si>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</si>
  <si>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</si>
  <si>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</si>
  <si>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</si>
  <si>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</si>
  <si>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</si>
  <si>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</si>
  <si>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</si>
  <si>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</si>
  <si>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</si>
  <si>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</si>
  <si>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</si>
  <si>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</si>
  <si>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</si>
  <si>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</si>
  <si>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</si>
  <si>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</si>
  <si>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</si>
  <si>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</si>
  <si>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</si>
  <si>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</si>
  <si>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</si>
  <si>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</si>
  <si>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</si>
  <si>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</si>
  <si>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</si>
  <si>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</si>
  <si>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</si>
  <si>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</si>
  <si>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</si>
  <si>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</si>
  <si>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</si>
  <si>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</si>
  <si>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</si>
  <si>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</si>
  <si>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</si>
  <si>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</si>
  <si>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</si>
  <si>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</si>
  <si>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</si>
  <si>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</si>
  <si>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</si>
  <si>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</si>
  <si>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</si>
  <si>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</si>
  <si>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</si>
  <si>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</si>
  <si>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</si>
  <si>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</si>
  <si>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</si>
  <si>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</si>
  <si>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</si>
  <si>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</si>
  <si>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</si>
  <si>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</si>
  <si>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</si>
  <si>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</si>
  <si>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</si>
  <si>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</si>
  <si>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</si>
  <si>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</si>
  <si>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</si>
  <si>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</si>
  <si>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</si>
  <si>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</si>
  <si>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</si>
  <si>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</si>
  <si>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</si>
  <si>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</si>
  <si>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</si>
  <si>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</si>
  <si>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</si>
  <si>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</si>
  <si>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</si>
  <si>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</si>
  <si>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</si>
  <si>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</si>
  <si>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</si>
  <si>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</si>
  <si>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</si>
  <si>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</si>
  <si>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</si>
  <si>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</si>
  <si>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</si>
  <si>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</si>
  <si>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</si>
  <si>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</si>
  <si>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</si>
  <si>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</si>
  <si>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</si>
  <si>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</si>
  <si>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</si>
  <si>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</si>
  <si>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</si>
  <si>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</si>
  <si>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</si>
  <si>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</si>
  <si>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</si>
  <si>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</si>
  <si>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</si>
  <si>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</si>
  <si>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</si>
  <si>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</si>
  <si>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</si>
  <si>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</si>
  <si>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</si>
  <si>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</si>
  <si>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</si>
  <si>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</si>
  <si>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</si>
  <si>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</si>
  <si>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</si>
  <si>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</si>
  <si>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</si>
  <si>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</si>
  <si>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</si>
  <si>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</si>
  <si>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</si>
  <si>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</si>
  <si>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</si>
  <si>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</si>
  <si>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</si>
  <si>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</si>
  <si>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</si>
  <si>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</si>
  <si>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</si>
  <si>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</si>
  <si>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</si>
  <si>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</si>
  <si>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</si>
  <si>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</si>
  <si>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</si>
  <si>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</si>
  <si>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</si>
  <si>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</si>
  <si>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</si>
  <si>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</si>
  <si>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</si>
  <si>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</si>
  <si>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</si>
  <si>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</si>
  <si>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</si>
  <si>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</si>
  <si>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</si>
  <si>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</si>
  <si>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</si>
  <si>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</si>
  <si>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</si>
  <si>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</si>
  <si>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</si>
  <si>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</si>
  <si>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</si>
  <si>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</si>
  <si>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</si>
  <si>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</si>
  <si>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</si>
  <si>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</si>
  <si>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</si>
  <si>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</si>
  <si>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</si>
  <si>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</si>
  <si>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</si>
  <si>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</si>
  <si>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</si>
  <si>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</si>
  <si>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</si>
  <si>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</si>
  <si>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</si>
  <si>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</si>
  <si>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</si>
  <si>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</si>
  <si>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</si>
  <si>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</si>
  <si>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</si>
  <si>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</si>
  <si>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</si>
  <si>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</si>
  <si>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</si>
  <si>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</si>
  <si>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</si>
  <si>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</si>
  <si>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</si>
  <si>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</si>
  <si>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</si>
  <si>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</si>
  <si>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</si>
  <si>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</si>
  <si>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</si>
  <si>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</si>
  <si>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</si>
  <si>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</si>
  <si>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</si>
  <si>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</si>
  <si>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</si>
  <si>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</si>
  <si>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</si>
  <si>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</si>
  <si>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</si>
  <si>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</si>
  <si>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</si>
  <si>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</si>
  <si>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</si>
  <si>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</si>
  <si>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</si>
  <si>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</si>
  <si>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</si>
  <si>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</si>
  <si>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</si>
  <si>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</si>
  <si>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</si>
  <si>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</si>
  <si>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</si>
  <si>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</si>
  <si>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</si>
  <si>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</si>
  <si>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</si>
  <si>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</si>
  <si>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</si>
  <si>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</si>
  <si>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</si>
  <si>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</si>
  <si>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</si>
  <si>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</si>
  <si>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</si>
  <si>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</si>
  <si>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</si>
  <si>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</si>
  <si>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</si>
  <si>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</si>
  <si>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</si>
  <si>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</si>
  <si>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</si>
  <si>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</si>
  <si>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</si>
  <si>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</si>
  <si>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</si>
  <si>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</si>
  <si>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</si>
  <si>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</si>
  <si>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</si>
  <si>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</si>
  <si>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</si>
  <si>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</si>
  <si>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</si>
  <si>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</si>
  <si>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</si>
  <si>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</si>
  <si>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</si>
  <si>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</si>
  <si>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</si>
  <si>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</si>
  <si>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</si>
  <si>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</si>
  <si>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</si>
  <si>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</si>
  <si>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</si>
  <si>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</si>
  <si>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</si>
  <si>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</si>
  <si>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</si>
  <si>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</si>
  <si>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</si>
  <si>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</si>
  <si>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</si>
  <si>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</si>
  <si>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</si>
  <si>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</si>
  <si>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</si>
  <si>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</si>
  <si>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</si>
  <si>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</si>
  <si>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</si>
  <si>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</si>
  <si>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</si>
  <si>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</si>
  <si>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</si>
  <si>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</si>
  <si>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</si>
  <si>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</si>
  <si>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</si>
  <si>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</si>
  <si>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</si>
  <si>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</si>
  <si>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</si>
  <si>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</si>
  <si>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</si>
  <si>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</si>
  <si>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</si>
  <si>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</si>
  <si>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</si>
  <si>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</si>
  <si>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</si>
  <si>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</si>
  <si>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</si>
  <si>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</si>
  <si>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</si>
  <si>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</si>
  <si>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</si>
  <si>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</si>
  <si>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</si>
  <si>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</si>
  <si>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</si>
  <si>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</si>
  <si>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</si>
  <si>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</si>
  <si>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</si>
  <si>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</si>
  <si>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</si>
  <si>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</si>
  <si>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</si>
  <si>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</si>
  <si>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</si>
  <si>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</si>
  <si>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</si>
  <si>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</si>
  <si>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</si>
  <si>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</si>
  <si>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</si>
  <si>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</si>
  <si>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</si>
  <si>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</si>
  <si>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</si>
  <si>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</si>
  <si>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</si>
  <si>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</si>
  <si>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</si>
  <si>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</si>
  <si>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</si>
  <si>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</si>
  <si>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</si>
  <si>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</si>
  <si>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</si>
  <si>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</si>
  <si>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</si>
  <si>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</si>
  <si>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</si>
  <si>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</si>
  <si>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</si>
  <si>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</si>
  <si>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</si>
  <si>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</si>
  <si>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</si>
  <si>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</si>
  <si>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</si>
  <si>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</si>
  <si>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</si>
  <si>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</si>
  <si>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</si>
  <si>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</si>
  <si>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</si>
  <si>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</si>
  <si>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</si>
  <si>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</si>
  <si>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</si>
  <si>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</si>
  <si>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</si>
  <si>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</si>
  <si>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</si>
  <si>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</si>
  <si>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</si>
  <si>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</si>
  <si>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</si>
  <si>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</si>
  <si>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</si>
  <si>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</si>
  <si>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</si>
  <si>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</si>
  <si>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</si>
  <si>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</si>
  <si>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</si>
  <si>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</si>
  <si>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</si>
  <si>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</si>
  <si>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</si>
  <si>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</si>
  <si>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</si>
  <si>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</si>
  <si>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</si>
  <si>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</si>
  <si>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</si>
  <si>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</si>
  <si>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</si>
  <si>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</si>
  <si>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</si>
  <si>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</si>
  <si>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</si>
  <si>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</si>
  <si>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</si>
  <si>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</si>
  <si>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</si>
  <si>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</si>
  <si>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</si>
  <si>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</si>
  <si>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</si>
  <si>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</si>
  <si>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</si>
  <si>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</si>
  <si>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</si>
  <si>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</si>
  <si>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</si>
  <si>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</si>
  <si>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</si>
  <si>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</si>
  <si>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</si>
  <si>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</si>
  <si>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</si>
  <si>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</si>
  <si>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</si>
  <si>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</si>
  <si>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</si>
  <si>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</si>
  <si>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</si>
  <si>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</si>
  <si>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</si>
  <si>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</si>
  <si>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</si>
  <si>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</si>
  <si>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</si>
  <si>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</si>
  <si>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</si>
  <si>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</si>
  <si>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</si>
  <si>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</si>
  <si>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</si>
  <si>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</si>
  <si>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</si>
  <si>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</si>
  <si>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</si>
  <si>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</si>
  <si>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</si>
  <si>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</si>
  <si>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</si>
  <si>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</si>
  <si>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</si>
  <si>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</si>
  <si>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</si>
  <si>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</si>
  <si>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</si>
  <si>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</si>
  <si>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</si>
  <si>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</si>
  <si>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</si>
  <si>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</si>
  <si>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</si>
  <si>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</si>
  <si>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</si>
  <si>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</si>
  <si>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</si>
  <si>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</si>
  <si>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</si>
  <si>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</si>
  <si>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</si>
  <si>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</si>
  <si>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</si>
  <si>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</si>
  <si>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</si>
  <si>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</si>
  <si>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</si>
  <si>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</si>
  <si>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</si>
  <si>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</si>
  <si>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</si>
  <si>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</si>
  <si>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</si>
  <si>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</si>
  <si>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</si>
  <si>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</si>
  <si>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</si>
  <si>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</si>
  <si>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</si>
  <si>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</si>
  <si>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</si>
  <si>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</si>
  <si>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</si>
  <si>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</si>
  <si>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</si>
  <si>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</si>
  <si>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</si>
  <si>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</si>
  <si>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</si>
  <si>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</si>
  <si>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</si>
  <si>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</si>
  <si>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</si>
  <si>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</si>
  <si>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</si>
  <si>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</si>
  <si>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</si>
  <si>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</si>
  <si>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</si>
  <si>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</si>
  <si>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</si>
  <si>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</si>
  <si>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</si>
  <si>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</si>
  <si>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</si>
  <si>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</si>
  <si>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</si>
  <si>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</si>
  <si>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</si>
  <si>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</si>
  <si>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</si>
  <si>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</si>
  <si>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</si>
  <si>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</si>
  <si>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</si>
  <si>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</si>
  <si>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</si>
  <si>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</si>
  <si>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</si>
  <si>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</si>
  <si>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</si>
  <si>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</si>
  <si>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</si>
  <si>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</si>
  <si>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</si>
  <si>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</si>
  <si>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</si>
  <si>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</si>
  <si>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</si>
  <si>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</si>
  <si>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</si>
  <si>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</si>
  <si>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</si>
  <si>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</si>
  <si>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</si>
  <si>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</si>
  <si>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</si>
  <si>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</si>
  <si>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</si>
  <si>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</si>
  <si>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</si>
  <si>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</si>
  <si>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</si>
  <si>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</si>
  <si>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</si>
  <si>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</si>
  <si>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</si>
  <si>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</si>
  <si>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</si>
  <si>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</si>
  <si>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</si>
  <si>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</si>
  <si>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</si>
  <si>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</si>
  <si>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</si>
  <si>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</si>
  <si>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</si>
  <si>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</si>
  <si>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</si>
  <si>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</si>
  <si>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</si>
  <si>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</si>
  <si>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</si>
  <si>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</si>
  <si>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</si>
  <si>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</si>
  <si>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</si>
  <si>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</si>
  <si>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</si>
  <si>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</si>
  <si>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</si>
  <si>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</si>
  <si>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</si>
  <si>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</si>
  <si>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</si>
  <si>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</si>
  <si>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</si>
  <si>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</si>
  <si>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</si>
  <si>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</si>
  <si>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</si>
  <si>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</si>
  <si>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</si>
  <si>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</si>
  <si>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</si>
  <si>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</si>
  <si>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</si>
  <si>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</si>
  <si>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</si>
  <si>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</si>
  <si>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</si>
  <si>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</si>
  <si>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</si>
  <si>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</si>
  <si>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</si>
  <si>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</si>
  <si>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</si>
  <si>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</si>
  <si>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</si>
  <si>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</si>
  <si>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</si>
  <si>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</si>
  <si>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</si>
  <si>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</si>
  <si>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</si>
  <si>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</si>
  <si>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</si>
  <si>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</si>
  <si>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</si>
  <si>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</si>
  <si>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</si>
  <si>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</si>
  <si>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</si>
  <si>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</si>
  <si>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</si>
  <si>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</si>
  <si>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</si>
  <si>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</si>
  <si>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</si>
  <si>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</si>
  <si>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</si>
  <si>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</si>
  <si>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</si>
  <si>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</si>
  <si>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</si>
  <si>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</si>
  <si>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</si>
  <si>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</si>
  <si>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</si>
  <si>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</si>
  <si>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</si>
  <si>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</si>
  <si>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</si>
  <si>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</si>
  <si>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</si>
  <si>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</si>
  <si>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</si>
  <si>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</si>
  <si>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</si>
  <si>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</si>
  <si>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</si>
  <si>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</si>
  <si>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</si>
  <si>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</si>
  <si>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</si>
  <si>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</si>
  <si>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</si>
  <si>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</si>
  <si>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</si>
  <si>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</si>
  <si>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</si>
  <si>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</si>
  <si>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</si>
  <si>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</si>
  <si>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</si>
  <si>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</si>
  <si>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</si>
  <si>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</si>
  <si>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</si>
  <si>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</si>
  <si>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</si>
  <si>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</si>
  <si>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</si>
  <si>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</si>
  <si>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</si>
  <si>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</si>
  <si>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</si>
  <si>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</si>
  <si>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</si>
  <si>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</si>
  <si>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</si>
  <si>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</si>
  <si>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</si>
  <si>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</si>
  <si>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</si>
  <si>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</si>
  <si>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</si>
  <si>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</si>
  <si>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</si>
  <si>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</si>
  <si>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</si>
  <si>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</si>
  <si>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</si>
  <si>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</si>
  <si>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</si>
  <si>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</si>
  <si>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</si>
  <si>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</si>
  <si>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</si>
  <si>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</si>
  <si>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</si>
  <si>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</si>
  <si>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</si>
  <si>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</si>
  <si>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</si>
  <si>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</si>
  <si>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</si>
  <si>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</si>
  <si>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</si>
  <si>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</si>
  <si>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</si>
  <si>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</si>
  <si>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</si>
  <si>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</si>
  <si>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</si>
  <si>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</si>
  <si>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</si>
  <si>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</si>
  <si>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</si>
  <si>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</si>
  <si>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</si>
  <si>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</si>
  <si>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</si>
  <si>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</si>
  <si>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</si>
  <si>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</si>
  <si>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</si>
  <si>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</si>
  <si>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</si>
  <si>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</si>
  <si>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</si>
  <si>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</si>
  <si>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</si>
  <si>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</si>
  <si>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</si>
  <si>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</si>
  <si>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</si>
  <si>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</si>
  <si>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</si>
  <si>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</si>
  <si>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</si>
  <si>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</si>
  <si>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</si>
  <si>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</si>
  <si>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</si>
  <si>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</si>
  <si>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</si>
  <si>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</si>
  <si>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</si>
  <si>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</si>
  <si>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</si>
  <si>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</si>
  <si>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</si>
  <si>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</si>
  <si>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</si>
  <si>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</si>
  <si>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</si>
  <si>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</si>
  <si>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</si>
  <si>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</si>
  <si>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</si>
  <si>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</si>
  <si>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</si>
  <si>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</si>
  <si>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</si>
  <si>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</si>
  <si>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</si>
  <si>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</si>
  <si>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</si>
  <si>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</si>
  <si>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</si>
  <si>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</si>
  <si>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</si>
  <si>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</si>
  <si>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</si>
  <si>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</si>
  <si>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</si>
  <si>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</si>
  <si>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</si>
  <si>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</si>
  <si>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</si>
  <si>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</si>
  <si>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</si>
  <si>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</si>
  <si>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</si>
  <si>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</si>
  <si>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</si>
  <si>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</si>
  <si>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</si>
  <si>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</si>
  <si>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</si>
  <si>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</si>
  <si>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</si>
  <si>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</si>
  <si>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</si>
  <si>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</si>
  <si>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</si>
  <si>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</si>
  <si>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</si>
  <si>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</si>
  <si>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</si>
  <si>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</si>
  <si>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</si>
  <si>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</si>
  <si>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</si>
  <si>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</si>
  <si>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</si>
  <si>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</si>
  <si>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</si>
  <si>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</si>
  <si>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</si>
  <si>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</si>
  <si>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</si>
  <si>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</si>
  <si>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</si>
  <si>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</si>
  <si>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</si>
  <si>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</si>
  <si>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</si>
  <si>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</si>
  <si>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</si>
  <si>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</si>
  <si>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</si>
  <si>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</si>
  <si>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</si>
  <si>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</si>
  <si>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</si>
  <si>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</si>
  <si>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</si>
  <si>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</si>
  <si>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</si>
  <si>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</si>
  <si>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</si>
  <si>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</si>
  <si>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</si>
  <si>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</si>
  <si>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</si>
  <si>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</si>
  <si>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</si>
  <si>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</si>
  <si>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</si>
  <si>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</si>
  <si>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</si>
  <si>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</si>
  <si>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</si>
  <si>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</si>
  <si>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</si>
  <si>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</si>
  <si>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</si>
  <si>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</si>
  <si>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</si>
  <si>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</si>
  <si>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</si>
  <si>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</si>
  <si>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</si>
  <si>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</si>
  <si>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</si>
  <si>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</si>
  <si>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</si>
  <si>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</si>
  <si>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</si>
  <si>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</si>
  <si>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</si>
  <si>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</si>
  <si>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</si>
  <si>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</si>
  <si>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</si>
  <si>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</si>
  <si>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</si>
  <si>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</si>
  <si>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</si>
  <si>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</si>
  <si>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</si>
  <si>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</si>
  <si>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</si>
  <si>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</si>
  <si>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</si>
  <si>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</si>
  <si>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</si>
  <si>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</si>
  <si>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</si>
  <si>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</si>
  <si>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</si>
  <si>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</si>
  <si>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</si>
  <si>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</si>
  <si>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</si>
  <si>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</si>
  <si>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</si>
  <si>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</si>
  <si>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</si>
  <si>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</si>
  <si>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</si>
  <si>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</si>
  <si>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</si>
  <si>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</si>
  <si>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</si>
  <si>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</si>
  <si>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</si>
  <si>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</si>
  <si>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</si>
  <si>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</si>
  <si>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</si>
  <si>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</si>
  <si>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</si>
  <si>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</si>
  <si>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</si>
  <si>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</si>
  <si>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</si>
  <si>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</si>
  <si>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</si>
  <si>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</si>
  <si>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</si>
  <si>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</si>
  <si>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</si>
  <si>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</si>
  <si>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</si>
  <si>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</si>
  <si>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</si>
  <si>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</si>
  <si>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</si>
  <si>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</si>
  <si>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</si>
  <si>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</si>
  <si>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</si>
  <si>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</si>
  <si>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</si>
  <si>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</si>
  <si>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</si>
  <si>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</si>
  <si>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</si>
  <si>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</si>
  <si>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</si>
  <si>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</si>
  <si>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</si>
  <si>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</si>
  <si>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</si>
  <si>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</si>
  <si>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</si>
  <si>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</si>
  <si>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</si>
  <si>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</si>
  <si>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</si>
  <si>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</si>
  <si>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</si>
  <si>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</si>
  <si>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</si>
  <si>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</si>
  <si>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</si>
  <si>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</si>
  <si>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</si>
  <si>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</si>
  <si>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</si>
  <si>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</si>
  <si>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</si>
  <si>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</si>
  <si>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</si>
  <si>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</si>
  <si>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</si>
  <si>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</si>
  <si>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</si>
  <si>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</si>
  <si>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</si>
  <si>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</si>
  <si>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</si>
  <si>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</si>
  <si>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</si>
  <si>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</si>
  <si>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</si>
  <si>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</si>
  <si>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</si>
  <si>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</si>
  <si>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</si>
  <si>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</si>
  <si>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</si>
  <si>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</si>
  <si>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</si>
  <si>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</si>
  <si>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</si>
  <si>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</si>
  <si>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</si>
  <si>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</si>
  <si>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</si>
  <si>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</si>
  <si>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</si>
  <si>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</si>
  <si>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</si>
  <si>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</si>
  <si>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</si>
  <si>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</si>
  <si>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</si>
  <si>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</si>
  <si>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</si>
  <si>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</si>
  <si>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</si>
  <si>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</si>
  <si>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</si>
  <si>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</si>
  <si>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</si>
  <si>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</si>
  <si>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</si>
  <si>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</si>
  <si>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</si>
  <si>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</si>
  <si>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</si>
  <si>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</si>
  <si>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</si>
  <si>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</si>
  <si>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</si>
  <si>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</si>
  <si>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</si>
  <si>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</si>
  <si>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</si>
  <si>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</si>
  <si>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</si>
  <si>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</si>
  <si>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</si>
  <si>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</si>
  <si>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</si>
  <si>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</si>
  <si>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</si>
  <si>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</si>
  <si>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</si>
  <si>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</si>
  <si>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</si>
  <si>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</si>
  <si>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</si>
  <si>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</si>
  <si>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</si>
  <si>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</si>
  <si>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</si>
  <si>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</si>
  <si>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</si>
  <si>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</si>
  <si>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</si>
  <si>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</si>
  <si>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</si>
  <si>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</si>
  <si>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</si>
  <si>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</si>
  <si>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</si>
  <si>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</si>
  <si>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</si>
  <si>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</si>
  <si>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</si>
  <si>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</si>
  <si>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</si>
  <si>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</si>
  <si>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</si>
  <si>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</si>
  <si>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</si>
  <si>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</si>
  <si>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</si>
  <si>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</si>
  <si>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</si>
  <si>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</si>
  <si>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</si>
  <si>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</si>
  <si>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</si>
  <si>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</si>
  <si>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</si>
  <si>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</si>
  <si>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</si>
  <si>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</si>
  <si>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</si>
  <si>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</si>
  <si>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</si>
  <si>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</si>
  <si>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</si>
  <si>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</si>
  <si>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</si>
  <si>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</si>
  <si>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</si>
  <si>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</si>
  <si>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</si>
  <si>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</si>
  <si>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</si>
  <si>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</si>
  <si>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</si>
  <si>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</si>
  <si>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</si>
  <si>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</si>
  <si>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</si>
  <si>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</si>
  <si>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</si>
  <si>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</si>
  <si>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</si>
  <si>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</si>
  <si>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</si>
  <si>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</si>
  <si>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</si>
  <si>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</si>
  <si>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</si>
  <si>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</si>
  <si>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</si>
  <si>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</si>
  <si>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</si>
  <si>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</si>
  <si>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</si>
  <si>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</si>
  <si>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</si>
  <si>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</si>
  <si>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</si>
  <si>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</si>
  <si>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</si>
  <si>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</si>
  <si>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</si>
  <si>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</si>
  <si>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</si>
  <si>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</si>
  <si>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</si>
  <si>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</si>
  <si>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</si>
  <si>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</si>
  <si>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</si>
  <si>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</si>
  <si>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</si>
  <si>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</si>
  <si>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</si>
  <si>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</si>
  <si>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</si>
  <si>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</si>
  <si>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</si>
  <si>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</si>
  <si>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</si>
  <si>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</si>
  <si>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</si>
  <si>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</si>
  <si>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</si>
  <si>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</si>
  <si>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</si>
  <si>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</si>
  <si>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</si>
  <si>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</si>
  <si>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</si>
  <si>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</si>
  <si>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</si>
  <si>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</si>
  <si>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</si>
  <si>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</si>
  <si>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</si>
  <si>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</si>
  <si>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</si>
  <si>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</si>
  <si>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</si>
  <si>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</si>
  <si>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</si>
  <si>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</si>
  <si>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</si>
  <si>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</si>
  <si>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</si>
  <si>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</si>
  <si>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</si>
  <si>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</si>
  <si>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</si>
  <si>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</si>
  <si>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</si>
  <si>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</si>
  <si>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</si>
  <si>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</si>
  <si>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</si>
  <si>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</si>
  <si>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</si>
  <si>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</si>
  <si>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</si>
  <si>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</si>
  <si>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</si>
  <si>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</si>
  <si>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</si>
  <si>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</si>
  <si>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</si>
  <si>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</si>
  <si>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</si>
  <si>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</si>
  <si>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</si>
  <si>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</si>
  <si>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</si>
  <si>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</si>
  <si>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</si>
  <si>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</si>
  <si>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</si>
  <si>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</si>
  <si>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</si>
  <si>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</si>
  <si>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</si>
  <si>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</si>
  <si>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</si>
  <si>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</si>
  <si>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</si>
  <si>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</si>
  <si>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</si>
  <si>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</si>
  <si>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</si>
  <si>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</si>
  <si>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</si>
  <si>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</si>
  <si>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</si>
  <si>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</si>
  <si>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</si>
  <si>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</si>
  <si>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</si>
  <si>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</si>
  <si>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</si>
  <si>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</si>
  <si>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</si>
  <si>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</si>
  <si>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</si>
  <si>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</si>
  <si>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</si>
  <si>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</si>
  <si>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</si>
  <si>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</si>
  <si>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</si>
  <si>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</si>
  <si>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</si>
  <si>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</si>
  <si>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</si>
  <si>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</si>
  <si>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</si>
  <si>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</si>
  <si>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</si>
  <si>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</si>
  <si>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</si>
  <si>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</si>
  <si>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</si>
  <si>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</si>
  <si>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</si>
  <si>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</si>
  <si>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</si>
  <si>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</si>
  <si>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</si>
  <si>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</si>
  <si>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</si>
  <si>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</si>
  <si>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</si>
  <si>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</si>
  <si>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</si>
  <si>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</si>
  <si>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</si>
  <si>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</si>
  <si>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</si>
  <si>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</si>
  <si>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</si>
  <si>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</si>
  <si>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</si>
  <si>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</si>
  <si>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</si>
  <si>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</si>
  <si>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</si>
  <si>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</si>
  <si>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</si>
  <si>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</si>
  <si>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</si>
  <si>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</si>
  <si>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</si>
  <si>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</si>
  <si>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</si>
  <si>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</si>
  <si>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</si>
  <si>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</si>
  <si>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</si>
  <si>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</si>
  <si>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</si>
  <si>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</si>
  <si>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</si>
  <si>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</si>
  <si>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</si>
  <si>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</si>
  <si>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</si>
  <si>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</si>
  <si>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</si>
  <si>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</si>
  <si>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</si>
  <si>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</si>
  <si>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</si>
  <si>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</si>
  <si>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</si>
  <si>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</si>
  <si>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</si>
  <si>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</si>
  <si>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</si>
  <si>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</si>
  <si>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</si>
  <si>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</si>
  <si>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</si>
  <si>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</si>
  <si>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</si>
  <si>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</si>
  <si>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</si>
  <si>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</si>
  <si>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</si>
  <si>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</si>
  <si>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</si>
  <si>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</si>
  <si>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</si>
  <si>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</si>
  <si>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</si>
  <si>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</si>
  <si>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</si>
  <si>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</si>
  <si>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</si>
  <si>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</si>
  <si>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</si>
  <si>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</si>
  <si>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</si>
  <si>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</si>
  <si>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</si>
  <si>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</si>
  <si>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</si>
  <si>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</si>
  <si>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</si>
  <si>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</si>
  <si>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</si>
  <si>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</si>
  <si>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</si>
  <si>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</si>
  <si>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</si>
  <si>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</si>
  <si>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</si>
  <si>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</si>
  <si>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</si>
  <si>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</si>
  <si>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</si>
  <si>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</si>
  <si>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</si>
  <si>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</si>
  <si>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</si>
  <si>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</si>
  <si>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</si>
  <si>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</si>
  <si>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</si>
  <si>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</si>
  <si>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</si>
  <si>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</si>
  <si>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</si>
  <si>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</si>
  <si>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</si>
  <si>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</si>
  <si>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</si>
  <si>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</si>
  <si>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</si>
  <si>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</si>
  <si>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</si>
  <si>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</si>
  <si>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</si>
  <si>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</si>
  <si>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</si>
  <si>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</si>
  <si>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</si>
  <si>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</si>
  <si>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</si>
  <si>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</si>
  <si>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</si>
  <si>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</si>
  <si>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</si>
  <si>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</si>
  <si>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</si>
  <si>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</si>
  <si>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</si>
  <si>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</si>
  <si>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</si>
  <si>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</si>
  <si>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</si>
  <si>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</si>
  <si>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</si>
  <si>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</si>
  <si>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</si>
  <si>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</si>
  <si>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</si>
  <si>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</si>
  <si>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</si>
  <si>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</si>
  <si>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</si>
  <si>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</si>
  <si>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</si>
  <si>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</si>
  <si>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</si>
  <si>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</si>
  <si>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</si>
  <si>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</si>
  <si>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</si>
  <si>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</si>
  <si>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</si>
  <si>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</si>
  <si>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</si>
  <si>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</si>
  <si>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</si>
  <si>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</si>
  <si>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</si>
  <si>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</si>
  <si>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</si>
  <si>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</si>
  <si>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</si>
  <si>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</si>
  <si>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</si>
  <si>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</si>
  <si>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</si>
  <si>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</si>
  <si>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</si>
  <si>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</si>
  <si>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</si>
  <si>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</si>
  <si>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</si>
  <si>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</si>
  <si>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</si>
  <si>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</si>
  <si>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</si>
  <si>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</si>
  <si>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</si>
  <si>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</si>
  <si>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</si>
  <si>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</si>
  <si>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</si>
  <si>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</si>
  <si>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</si>
  <si>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</si>
  <si>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</si>
  <si>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</si>
  <si>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</si>
  <si>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</si>
  <si>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</si>
  <si>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</si>
  <si>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</si>
  <si>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</si>
  <si>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</si>
  <si>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</si>
  <si>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</si>
  <si>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</si>
  <si>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</si>
  <si>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</si>
  <si>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</si>
  <si>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</si>
  <si>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</si>
  <si>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</si>
  <si>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</si>
  <si>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</si>
  <si>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</si>
  <si>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</si>
  <si>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</si>
  <si>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</si>
  <si>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</si>
  <si>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</si>
  <si>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</si>
  <si>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</si>
  <si>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</si>
  <si>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</si>
  <si>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</si>
  <si>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</si>
  <si>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</si>
  <si>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</si>
  <si>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</si>
  <si>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</si>
  <si>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</si>
  <si>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</si>
  <si>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</si>
  <si>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</si>
  <si>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</si>
  <si>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</si>
  <si>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</si>
  <si>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</si>
  <si>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</si>
  <si>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</si>
  <si>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</si>
  <si>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</si>
  <si>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</si>
  <si>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</si>
  <si>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</si>
  <si>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</si>
  <si>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</si>
  <si>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</si>
  <si>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</si>
  <si>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</si>
  <si>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</si>
  <si>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</si>
  <si>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</si>
  <si>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</si>
  <si>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</si>
  <si>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</si>
  <si>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</si>
  <si>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</si>
  <si>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</si>
  <si>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</si>
  <si>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</si>
  <si>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</si>
  <si>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</si>
  <si>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</si>
  <si>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</si>
  <si>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</si>
  <si>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</si>
  <si>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</si>
  <si>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</si>
  <si>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</si>
  <si>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</si>
  <si>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</si>
  <si>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</si>
  <si>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</si>
  <si>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</si>
  <si>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</si>
  <si>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</si>
  <si>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</si>
  <si>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</si>
  <si>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</si>
  <si>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</si>
  <si>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</si>
  <si>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</si>
  <si>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</si>
  <si>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</si>
  <si>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</si>
  <si>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</si>
  <si>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</si>
  <si>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</si>
  <si>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</si>
  <si>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</si>
  <si>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</si>
  <si>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</si>
  <si>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</si>
  <si>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</si>
  <si>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</si>
  <si>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</si>
  <si>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</si>
  <si>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</si>
  <si>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</si>
  <si>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</si>
  <si>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</si>
  <si>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</si>
  <si>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</si>
  <si>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</si>
  <si>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</si>
  <si>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</si>
  <si>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</si>
  <si>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</si>
  <si>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</si>
  <si>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</si>
  <si>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</si>
  <si>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</si>
  <si>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</si>
  <si>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</si>
  <si>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</si>
  <si>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</si>
  <si>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</si>
  <si>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</si>
  <si>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</si>
  <si>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</si>
  <si>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</si>
  <si>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</si>
  <si>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</si>
  <si>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</si>
  <si>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</si>
  <si>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</si>
  <si>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</si>
  <si>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</si>
  <si>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</si>
  <si>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</si>
  <si>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</si>
  <si>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</si>
  <si>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</si>
  <si>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</si>
  <si>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</si>
  <si>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</si>
  <si>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</si>
  <si>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</si>
  <si>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</si>
  <si>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</si>
  <si>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</si>
  <si>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</si>
  <si>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</si>
  <si>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</si>
  <si>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</si>
  <si>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</si>
  <si>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</si>
  <si>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</si>
  <si>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</si>
  <si>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</si>
  <si>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</si>
  <si>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</si>
  <si>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</si>
  <si>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</si>
  <si>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</si>
  <si>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</si>
  <si>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</si>
  <si>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</si>
  <si>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</si>
  <si>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</si>
  <si>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</si>
  <si>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</si>
  <si>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</si>
  <si>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</si>
  <si>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</si>
  <si>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</si>
  <si>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</si>
  <si>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</si>
  <si>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</si>
  <si>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</si>
  <si>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</si>
  <si>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</si>
  <si>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</si>
  <si>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</si>
  <si>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</si>
  <si>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</si>
  <si>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</si>
  <si>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</si>
  <si>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</si>
  <si>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</si>
  <si>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</si>
  <si>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</si>
  <si>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</si>
  <si>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</si>
  <si>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</si>
  <si>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</si>
  <si>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</si>
  <si>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</si>
  <si>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</si>
  <si>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</si>
  <si>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</si>
  <si>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</si>
  <si>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</si>
  <si>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</si>
  <si>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</si>
  <si>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</si>
  <si>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</si>
  <si>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</si>
  <si>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</si>
  <si>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</si>
  <si>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</si>
  <si>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</si>
  <si>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</si>
  <si>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</si>
  <si>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</si>
  <si>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</si>
  <si>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</si>
  <si>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</si>
  <si>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</si>
  <si>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</si>
  <si>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</si>
  <si>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</si>
  <si>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</si>
  <si>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</si>
  <si>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</si>
  <si>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</si>
  <si>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</si>
  <si>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</si>
  <si>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</si>
  <si>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</si>
  <si>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</si>
  <si>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</si>
  <si>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</si>
  <si>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</si>
  <si>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</si>
  <si>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</si>
  <si>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</si>
  <si>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</si>
  <si>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</si>
  <si>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</si>
  <si>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</si>
  <si>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</si>
  <si>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</si>
  <si>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</si>
  <si>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</si>
  <si>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</si>
  <si>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</si>
  <si>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</si>
  <si>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</si>
  <si>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</si>
  <si>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</si>
  <si>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</si>
  <si>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</si>
  <si>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</si>
  <si>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</si>
  <si>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</si>
  <si>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</si>
  <si>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</si>
  <si>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</si>
  <si>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</si>
  <si>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</si>
  <si>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</si>
  <si>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</si>
  <si>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</si>
  <si>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</si>
  <si>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</si>
  <si>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</si>
  <si>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</si>
  <si>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</si>
  <si>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</si>
  <si>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</si>
  <si>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</si>
  <si>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</si>
  <si>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</si>
  <si>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</si>
  <si>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</si>
  <si>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</si>
  <si>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</si>
  <si>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</si>
  <si>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</si>
  <si>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</si>
  <si>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</si>
  <si>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</si>
  <si>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</si>
  <si>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</si>
  <si>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</si>
  <si>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</si>
  <si>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</si>
  <si>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</si>
  <si>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</si>
  <si>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</si>
  <si>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</si>
  <si>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</si>
  <si>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</si>
  <si>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</si>
  <si>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</si>
  <si>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</si>
  <si>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</si>
  <si>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</si>
  <si>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</si>
  <si>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</si>
  <si>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</si>
  <si>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</si>
  <si>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</si>
  <si>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</si>
  <si>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</si>
  <si>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</si>
  <si>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</si>
  <si>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</si>
  <si>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</si>
  <si>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</si>
  <si>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</si>
  <si>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</si>
  <si>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</si>
  <si>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</si>
  <si>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</si>
  <si>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</si>
  <si>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</si>
  <si>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</si>
  <si>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</si>
  <si>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</si>
  <si>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</si>
  <si>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</si>
  <si>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</si>
  <si>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</si>
  <si>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</si>
  <si>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</si>
  <si>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</si>
  <si>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</si>
  <si>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</si>
  <si>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</si>
  <si>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</si>
  <si>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</si>
  <si>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</si>
  <si>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</si>
  <si>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</si>
  <si>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</si>
  <si>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</si>
  <si>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</si>
  <si>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</si>
  <si>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</si>
  <si>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</si>
  <si>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</si>
  <si>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</si>
  <si>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</si>
  <si>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</si>
  <si>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</si>
  <si>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</si>
  <si>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</si>
  <si>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</si>
  <si>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</si>
  <si>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</si>
  <si>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</si>
  <si>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</si>
  <si>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</si>
  <si>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</si>
  <si>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</si>
  <si>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</si>
  <si>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</si>
  <si>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</si>
  <si>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</si>
  <si>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</si>
  <si>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</si>
  <si>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</si>
  <si>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</si>
  <si>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</si>
  <si>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</si>
  <si>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</si>
  <si>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</si>
  <si>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</si>
  <si>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</si>
  <si>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</si>
  <si>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</si>
  <si>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</si>
  <si>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</si>
  <si>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</si>
  <si>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</si>
  <si>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</si>
  <si>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</si>
  <si>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</si>
  <si>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</si>
  <si>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</si>
  <si>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</si>
  <si>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</si>
  <si>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</si>
  <si>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</si>
  <si>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</si>
  <si>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</si>
  <si>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</si>
  <si>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</si>
  <si>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</si>
  <si>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</si>
  <si>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</si>
  <si>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</si>
  <si>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</si>
  <si>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</si>
  <si>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</si>
  <si>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</si>
  <si>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</si>
  <si>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</si>
  <si>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</si>
  <si>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</si>
  <si>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</si>
  <si>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</si>
  <si>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</si>
  <si>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</si>
  <si>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</si>
  <si>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</si>
  <si>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</si>
  <si>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</si>
  <si>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</si>
  <si>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</si>
  <si>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</si>
  <si>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</si>
  <si>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</si>
  <si>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</si>
  <si>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</si>
  <si>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</si>
  <si>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</si>
  <si>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</si>
  <si>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</si>
  <si>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</si>
  <si>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</si>
  <si>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</si>
  <si>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</si>
  <si>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</si>
  <si>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</si>
  <si>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</si>
  <si>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</si>
  <si>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</si>
  <si>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</si>
  <si>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</si>
  <si>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</si>
  <si>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</si>
  <si>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</si>
  <si>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</si>
  <si>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</si>
  <si>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</si>
  <si>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</si>
  <si>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</si>
  <si>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</si>
  <si>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</si>
  <si>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</si>
  <si>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</si>
  <si>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</si>
  <si>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</si>
  <si>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</si>
  <si>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</si>
  <si>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</si>
  <si>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</si>
  <si>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</si>
  <si>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</si>
  <si>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</si>
  <si>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</si>
  <si>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</si>
  <si>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</si>
  <si>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</si>
  <si>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</si>
  <si>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</si>
  <si>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</si>
  <si>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</si>
  <si>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</si>
  <si>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</si>
  <si>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</si>
  <si>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</si>
  <si>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</si>
  <si>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</si>
  <si>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</si>
  <si>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</si>
  <si>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</si>
  <si>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</si>
  <si>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</si>
  <si>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</si>
  <si>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</si>
  <si>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</si>
  <si>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</si>
  <si>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</si>
  <si>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</si>
  <si>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</si>
  <si>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</si>
  <si>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</si>
  <si>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</si>
  <si>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</si>
  <si>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</si>
  <si>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</si>
  <si>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</si>
  <si>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</si>
  <si>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</si>
  <si>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</si>
  <si>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</si>
  <si>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</si>
  <si>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</si>
  <si>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</si>
  <si>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</si>
  <si>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</si>
  <si>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</si>
  <si>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</si>
  <si>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</si>
  <si>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</si>
  <si>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</si>
  <si>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</si>
  <si>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</si>
  <si>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</si>
  <si>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</si>
  <si>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</si>
  <si>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</si>
  <si>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</si>
  <si>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</si>
  <si>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</si>
  <si>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</si>
  <si>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</si>
  <si>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</si>
  <si>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</si>
  <si>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</si>
  <si>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</si>
  <si>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</si>
  <si>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</si>
  <si>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</si>
  <si>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</si>
  <si>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</si>
  <si>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</si>
  <si>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</si>
  <si>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</si>
  <si>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</si>
  <si>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</si>
  <si>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</si>
  <si>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</si>
  <si>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</si>
  <si>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</si>
  <si>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</si>
  <si>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</si>
  <si>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</si>
  <si>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</si>
  <si>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</si>
  <si>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</si>
  <si>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</si>
  <si>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</si>
  <si>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</si>
  <si>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</si>
  <si>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</si>
  <si>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</si>
  <si>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</si>
  <si>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</si>
  <si>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</si>
  <si>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</si>
  <si>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</si>
  <si>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</si>
  <si>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</si>
  <si>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</si>
  <si>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</si>
  <si>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</si>
  <si>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</si>
  <si>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</si>
  <si>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</si>
  <si>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</si>
  <si>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</si>
  <si>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</si>
  <si>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</si>
  <si>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</si>
  <si>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</si>
  <si>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</si>
  <si>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</si>
  <si>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</si>
  <si>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</si>
  <si>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</si>
  <si>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</si>
  <si>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</si>
  <si>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</si>
  <si>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</si>
  <si>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</si>
  <si>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</si>
  <si>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</si>
  <si>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</si>
  <si>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</si>
  <si>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</si>
  <si>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</si>
  <si>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</si>
  <si>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</si>
  <si>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</si>
  <si>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</si>
  <si>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</si>
  <si>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</si>
  <si>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</si>
  <si>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</si>
  <si>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</si>
  <si>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</si>
  <si>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</si>
  <si>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</si>
  <si>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</si>
  <si>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</si>
  <si>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</si>
  <si>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</si>
  <si>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</si>
  <si>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</si>
  <si>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</si>
  <si>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</si>
  <si>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</si>
  <si>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</si>
  <si>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</si>
  <si>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</si>
  <si>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</si>
  <si>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</si>
  <si>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</si>
  <si>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</si>
  <si>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</si>
  <si>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</si>
  <si>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</si>
  <si>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</si>
  <si>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</si>
  <si>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</si>
  <si>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</si>
  <si>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</si>
  <si>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</si>
  <si>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</si>
  <si>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</si>
  <si>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</si>
  <si>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</si>
  <si>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</si>
  <si>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</si>
  <si>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</si>
  <si>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</si>
  <si>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</si>
  <si>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</si>
  <si>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</si>
  <si>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</si>
  <si>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</si>
  <si>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</si>
  <si>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</si>
  <si>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</si>
  <si>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</si>
  <si>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</si>
  <si>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</si>
  <si>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</si>
  <si>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</si>
  <si>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</si>
  <si>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</si>
  <si>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</si>
  <si>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</si>
  <si>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</si>
  <si>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</si>
  <si>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</si>
  <si>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</si>
  <si>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</si>
  <si>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</si>
  <si>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</si>
  <si>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</si>
  <si>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</si>
  <si>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</si>
  <si>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</si>
  <si>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</si>
  <si>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</si>
  <si>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</si>
  <si>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</si>
  <si>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</si>
  <si>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</si>
  <si>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</si>
  <si>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</si>
  <si>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</si>
  <si>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</si>
  <si>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</si>
  <si>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</si>
  <si>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</si>
  <si>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</si>
  <si>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</si>
  <si>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</si>
  <si>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</si>
  <si>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</si>
  <si>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</si>
  <si>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</si>
  <si>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</si>
  <si>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</si>
  <si>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</si>
  <si>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</si>
  <si>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</si>
  <si>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</si>
  <si>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</si>
  <si>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</si>
  <si>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</si>
  <si>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</si>
  <si>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</si>
  <si>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</si>
  <si>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</si>
  <si>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</si>
  <si>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</si>
  <si>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</si>
  <si>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</si>
  <si>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</si>
  <si>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</si>
  <si>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</si>
  <si>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</si>
  <si>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</si>
  <si>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</si>
  <si>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</si>
  <si>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</si>
  <si>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</si>
  <si>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</si>
  <si>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</si>
  <si>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</si>
  <si>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</si>
  <si>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</si>
  <si>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</si>
  <si>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</si>
  <si>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</si>
  <si>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</si>
  <si>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</si>
  <si>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</si>
  <si>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</si>
  <si>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</si>
  <si>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</si>
  <si>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</si>
  <si>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</si>
  <si>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</si>
  <si>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</si>
  <si>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</si>
  <si>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</si>
  <si>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</si>
  <si>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</si>
  <si>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</si>
  <si>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</si>
  <si>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</si>
  <si>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</si>
  <si>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</si>
  <si>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</si>
  <si>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</si>
  <si>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</si>
  <si>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</si>
  <si>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</si>
  <si>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</si>
  <si>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</si>
  <si>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</si>
  <si>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</si>
  <si>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</si>
  <si>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</si>
  <si>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</si>
  <si>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</si>
  <si>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</si>
  <si>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</si>
  <si>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</si>
  <si>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</si>
  <si>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</si>
  <si>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</si>
  <si>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</si>
  <si>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</si>
  <si>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</si>
  <si>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</si>
  <si>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</si>
  <si>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</si>
  <si>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</si>
  <si>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</si>
  <si>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</si>
  <si>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</si>
  <si>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</si>
  <si>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</si>
  <si>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</si>
  <si>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</si>
  <si>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</si>
  <si>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</si>
  <si>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</si>
  <si>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</si>
  <si>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</si>
  <si>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</si>
  <si>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</si>
  <si>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</si>
  <si>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</si>
  <si>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</si>
  <si>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</si>
  <si>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</si>
  <si>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</si>
  <si>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</si>
  <si>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</si>
  <si>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</si>
  <si>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</si>
  <si>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</si>
  <si>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</si>
  <si>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</si>
  <si>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</si>
  <si>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</si>
  <si>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</si>
  <si>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</si>
  <si>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</si>
  <si>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</si>
  <si>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</si>
  <si>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</si>
  <si>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</si>
  <si>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</si>
  <si>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</si>
  <si>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</si>
  <si>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</si>
  <si>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</si>
  <si>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</si>
  <si>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</si>
  <si>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</si>
  <si>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</si>
  <si>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</si>
  <si>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</si>
  <si>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</si>
  <si>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</si>
  <si>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</si>
  <si>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</si>
  <si>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</si>
  <si>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</si>
  <si>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</si>
  <si>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</si>
  <si>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</si>
  <si>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</si>
  <si>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</si>
  <si>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</si>
  <si>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</si>
  <si>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</si>
  <si>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</si>
  <si>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</si>
  <si>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</si>
  <si>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</si>
  <si>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</si>
  <si>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</si>
  <si>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</si>
  <si>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</si>
  <si>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</si>
  <si>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</si>
  <si>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</si>
  <si>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</si>
  <si>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</si>
  <si>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</si>
  <si>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</si>
  <si>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</si>
  <si>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</si>
  <si>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</si>
  <si>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</si>
  <si>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</si>
  <si>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</si>
  <si>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</si>
  <si>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</si>
  <si>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</si>
  <si>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</si>
  <si>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</si>
  <si>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</si>
  <si>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</si>
  <si>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</si>
  <si>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</si>
  <si>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</si>
  <si>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</si>
  <si>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</si>
  <si>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</si>
  <si>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</si>
  <si>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</si>
  <si>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</si>
  <si>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</si>
  <si>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</si>
  <si>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</si>
  <si>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</si>
  <si>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</si>
  <si>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</si>
  <si>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</si>
  <si>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</si>
  <si>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</si>
  <si>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</si>
  <si>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</si>
  <si>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</si>
  <si>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</si>
  <si>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</si>
  <si>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</si>
  <si>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</si>
  <si>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</si>
  <si>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</si>
  <si>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</si>
  <si>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</si>
  <si>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</si>
  <si>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</si>
  <si>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</si>
  <si>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</si>
  <si>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</si>
  <si>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</si>
  <si>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</si>
  <si>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</si>
  <si>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</si>
  <si>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</si>
  <si>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</si>
  <si>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</si>
  <si>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</si>
  <si>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</si>
  <si>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</si>
  <si>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</si>
  <si>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</si>
  <si>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</si>
  <si>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</si>
  <si>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</si>
  <si>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</si>
  <si>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</si>
  <si>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</si>
  <si>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</si>
  <si>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</si>
  <si>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</si>
  <si>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</si>
  <si>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</si>
  <si>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</si>
  <si>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</si>
  <si>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</si>
  <si>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</si>
  <si>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</si>
  <si>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</si>
  <si>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</si>
  <si>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</si>
  <si>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</si>
  <si>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</si>
  <si>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</si>
  <si>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</si>
  <si>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</si>
  <si>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</si>
  <si>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</si>
  <si>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</si>
  <si>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</si>
  <si>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</si>
  <si>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</si>
  <si>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</si>
  <si>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</si>
  <si>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</si>
  <si>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</si>
  <si>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</si>
  <si>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</si>
  <si>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</si>
  <si>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</si>
  <si>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</si>
  <si>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</si>
  <si>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</si>
  <si>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</si>
  <si>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</si>
  <si>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</si>
  <si>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</si>
  <si>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</si>
  <si>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</si>
  <si>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</si>
  <si>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</si>
  <si>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</si>
  <si>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</si>
  <si>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</si>
  <si>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</si>
  <si>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</si>
  <si>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</si>
  <si>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</si>
  <si>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</si>
  <si>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</si>
  <si>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</si>
  <si>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</si>
  <si>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</si>
  <si>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</si>
  <si>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</si>
  <si>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</si>
  <si>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</si>
  <si>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</si>
  <si>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</si>
  <si>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</si>
  <si>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</si>
  <si>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</si>
  <si>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</si>
  <si>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</si>
  <si>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</si>
  <si>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</si>
  <si>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</si>
  <si>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</si>
  <si>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</si>
  <si>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</si>
  <si>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</si>
  <si>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</si>
  <si>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</si>
  <si>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</si>
  <si>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</si>
  <si>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</si>
  <si>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</si>
  <si>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</si>
  <si>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</si>
  <si>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</si>
  <si>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</si>
  <si>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</si>
  <si>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</si>
  <si>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</si>
  <si>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</si>
  <si>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</si>
  <si>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</si>
  <si>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</si>
  <si>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</si>
  <si>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</si>
  <si>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</si>
  <si>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</si>
  <si>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</si>
  <si>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</si>
  <si>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</si>
  <si>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</si>
  <si>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</si>
  <si>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</si>
  <si>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</si>
  <si>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</si>
  <si>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</si>
  <si>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</si>
  <si>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</si>
  <si>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</si>
  <si>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</si>
  <si>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</si>
  <si>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</si>
  <si>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</si>
  <si>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</si>
  <si>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</si>
  <si>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</si>
  <si>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</si>
  <si>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</si>
  <si>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</si>
  <si>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</si>
  <si>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</si>
  <si>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</si>
  <si>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</si>
  <si>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</si>
  <si>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</si>
  <si>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</si>
  <si>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</si>
  <si>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</si>
  <si>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</si>
  <si>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</si>
  <si>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</si>
  <si>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</si>
  <si>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</si>
  <si>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</si>
  <si>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</si>
  <si>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</si>
  <si>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</si>
  <si>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</si>
  <si>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</si>
  <si>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</si>
  <si>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</si>
  <si>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</si>
  <si>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</si>
  <si>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</si>
  <si>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</si>
  <si>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</si>
  <si>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</si>
  <si>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</si>
  <si>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</si>
  <si>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</si>
  <si>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</si>
  <si>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</si>
  <si>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</si>
  <si>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</si>
  <si>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</si>
  <si>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</si>
  <si>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</si>
  <si>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</si>
  <si>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</si>
  <si>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</si>
  <si>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</si>
  <si>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</si>
  <si>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</si>
  <si>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</si>
  <si>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</si>
  <si>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</si>
  <si>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</si>
  <si>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</si>
  <si>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</si>
  <si>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</si>
  <si>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</si>
  <si>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</si>
  <si>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</si>
  <si>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</si>
  <si>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</si>
  <si>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</si>
  <si>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</si>
  <si>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</si>
  <si>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</si>
  <si>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</si>
  <si>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</si>
  <si>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</si>
  <si>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</si>
  <si>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</si>
  <si>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</si>
  <si>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</si>
  <si>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</si>
  <si>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</si>
  <si>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</si>
  <si>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</si>
  <si>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</si>
  <si>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</si>
  <si>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</si>
  <si>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</si>
  <si>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</si>
  <si>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</si>
  <si>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</si>
  <si>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</si>
  <si>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</si>
  <si>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</si>
  <si>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</si>
  <si>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</si>
  <si>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</si>
  <si>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</si>
  <si>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</si>
  <si>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</si>
  <si>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</si>
  <si>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</si>
  <si>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</si>
  <si>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</si>
  <si>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</si>
  <si>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</si>
  <si>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</si>
  <si>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</si>
  <si>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</si>
  <si>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</si>
  <si>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</si>
  <si>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</si>
  <si>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</si>
  <si>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</si>
  <si>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</si>
  <si>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</si>
  <si>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</si>
  <si>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</si>
  <si>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</si>
  <si>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</si>
  <si>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</si>
  <si>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</si>
  <si>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</si>
  <si>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</si>
  <si>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</si>
  <si>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</si>
  <si>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</si>
  <si>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</si>
  <si>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</si>
  <si>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</si>
  <si>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</si>
  <si>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</si>
  <si>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</si>
  <si>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</si>
  <si>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</si>
  <si>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</si>
  <si>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</si>
  <si>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</si>
  <si>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</si>
  <si>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</si>
  <si>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</si>
  <si>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</si>
  <si>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</si>
  <si>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</si>
  <si>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</si>
  <si>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</si>
  <si>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</si>
  <si>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</si>
  <si>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</si>
  <si>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</si>
  <si>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</si>
  <si>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</si>
  <si>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</si>
  <si>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</si>
  <si>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</si>
  <si>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</si>
  <si>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</si>
  <si>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</si>
  <si>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</si>
  <si>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</si>
  <si>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</si>
  <si>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</si>
  <si>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</si>
  <si>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</si>
  <si>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</si>
  <si>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</si>
  <si>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</si>
  <si>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</si>
  <si>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</si>
  <si>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</si>
  <si>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</si>
  <si>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</si>
  <si>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</si>
  <si>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</si>
  <si>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</si>
  <si>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</si>
  <si>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</si>
  <si>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</si>
  <si>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</si>
  <si>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</si>
  <si>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</si>
  <si>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</si>
  <si>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</si>
  <si>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</si>
  <si>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</si>
  <si>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</si>
  <si>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</si>
  <si>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</si>
  <si>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</si>
  <si>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</si>
  <si>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</si>
  <si>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</si>
  <si>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</si>
  <si>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</si>
  <si>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</si>
  <si>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</si>
  <si>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</si>
  <si>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</si>
  <si>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</si>
  <si>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</si>
  <si>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</si>
  <si>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</si>
  <si>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</si>
  <si>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</si>
  <si>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</si>
  <si>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</si>
  <si>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</si>
  <si>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</si>
  <si>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</si>
  <si>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</si>
  <si>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</si>
  <si>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</si>
  <si>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</si>
  <si>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</si>
  <si>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</si>
  <si>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</si>
  <si>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</si>
  <si>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</si>
  <si>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</si>
  <si>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</si>
  <si>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</si>
  <si>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</si>
  <si>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</si>
  <si>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</si>
  <si>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</si>
  <si>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</si>
  <si>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</si>
  <si>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</si>
  <si>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</si>
  <si>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</si>
  <si>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</si>
  <si>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</si>
  <si>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</si>
  <si>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</si>
  <si>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</si>
  <si>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</si>
  <si>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</si>
  <si>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</si>
  <si>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</si>
  <si>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</si>
  <si>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</si>
  <si>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</si>
  <si>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</si>
  <si>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</si>
  <si>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</si>
  <si>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</si>
  <si>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</si>
  <si>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</si>
  <si>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</si>
  <si>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</si>
  <si>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</si>
  <si>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</si>
  <si>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</si>
  <si>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</si>
  <si>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</si>
  <si>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</si>
  <si>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</si>
  <si>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</si>
  <si>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</si>
  <si>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</si>
  <si>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</si>
  <si>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</si>
  <si>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</si>
  <si>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</si>
  <si>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</si>
  <si>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</si>
  <si>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</si>
  <si>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</si>
  <si>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</si>
  <si>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</si>
  <si>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</si>
  <si>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</si>
  <si>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</si>
  <si>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</si>
  <si>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</si>
  <si>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</si>
  <si>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</si>
  <si>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</si>
  <si>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</si>
  <si>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</si>
  <si>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</si>
  <si>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</si>
  <si>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</si>
  <si>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</si>
  <si>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</si>
  <si>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</si>
  <si>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</si>
  <si>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</si>
  <si>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</si>
  <si>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</si>
  <si>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</si>
  <si>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</si>
  <si>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</si>
  <si>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</si>
  <si>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</si>
  <si>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</si>
  <si>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</si>
  <si>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</si>
  <si>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</si>
  <si>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</si>
  <si>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</si>
  <si>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</si>
  <si>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</si>
  <si>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</si>
  <si>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</si>
  <si>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</si>
  <si>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</si>
  <si>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</si>
  <si>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</si>
  <si>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</si>
  <si>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</si>
  <si>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</si>
  <si>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</si>
  <si>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</si>
  <si>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</si>
  <si>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</si>
  <si>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</si>
  <si>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</si>
  <si>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</si>
  <si>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</si>
  <si>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</si>
  <si>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</si>
  <si>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</si>
  <si>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</si>
  <si>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</si>
  <si>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</si>
  <si>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</si>
  <si>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</si>
  <si>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</si>
  <si>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</si>
  <si>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</si>
  <si>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</si>
  <si>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</si>
  <si>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</si>
  <si>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</si>
  <si>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</si>
  <si>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</si>
  <si>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</si>
  <si>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</si>
  <si>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</si>
  <si>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</si>
  <si>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</si>
  <si>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</si>
  <si>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</si>
  <si>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</si>
  <si>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</si>
  <si>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</si>
  <si>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</si>
  <si>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</si>
  <si>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</si>
  <si>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</si>
  <si>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</si>
  <si>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</si>
  <si>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</si>
  <si>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</si>
  <si>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</si>
  <si>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</si>
  <si>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</si>
  <si>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</si>
  <si>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</si>
  <si>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</si>
  <si>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</si>
  <si>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</si>
  <si>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</si>
  <si>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</si>
  <si>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</si>
  <si>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</si>
  <si>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</si>
  <si>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</si>
  <si>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</si>
  <si>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</si>
  <si>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</si>
  <si>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</si>
  <si>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</si>
  <si>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</si>
  <si>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</si>
  <si>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</si>
  <si>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</si>
  <si>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</si>
  <si>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</si>
  <si>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</si>
  <si>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</si>
  <si>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</si>
  <si>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</si>
  <si>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</si>
  <si>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</si>
  <si>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</si>
  <si>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</si>
  <si>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</si>
  <si>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</si>
  <si>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</si>
  <si>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</si>
  <si>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</si>
  <si>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</si>
  <si>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</si>
  <si>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</si>
  <si>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</si>
  <si>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</si>
  <si>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</si>
  <si>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</si>
  <si>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</si>
  <si>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</si>
  <si>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</si>
  <si>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</si>
  <si>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</si>
  <si>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</si>
  <si>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</si>
  <si>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</si>
  <si>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</si>
  <si>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</si>
  <si>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</si>
  <si>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</si>
  <si>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</si>
  <si>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</si>
  <si>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</si>
  <si>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</si>
  <si>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</si>
  <si>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</si>
  <si>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</si>
  <si>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</si>
  <si>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</si>
  <si>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</si>
  <si>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</si>
  <si>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</si>
  <si>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</si>
  <si>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</si>
  <si>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</si>
  <si>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</si>
  <si>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</si>
  <si>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</si>
  <si>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</si>
  <si>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</si>
  <si>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</si>
  <si>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</si>
  <si>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</si>
  <si>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</si>
  <si>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</si>
  <si>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</si>
  <si>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</si>
  <si>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</si>
  <si>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</si>
  <si>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</si>
  <si>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</si>
  <si>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</si>
  <si>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</si>
  <si>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</si>
  <si>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</si>
  <si>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</si>
  <si>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</si>
  <si>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</si>
  <si>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</si>
  <si>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</si>
  <si>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</si>
  <si>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</si>
  <si>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</si>
  <si>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</si>
  <si>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</si>
  <si>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</si>
  <si>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</si>
  <si>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</si>
  <si>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</si>
  <si>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</si>
  <si>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</si>
  <si>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</si>
  <si>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</si>
  <si>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</si>
  <si>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</si>
  <si>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</si>
  <si>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</si>
  <si>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</si>
  <si>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</si>
  <si>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</si>
  <si>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</si>
  <si>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</si>
  <si>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</si>
  <si>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</si>
  <si>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</si>
  <si>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</si>
  <si>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</si>
  <si>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</si>
  <si>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</si>
  <si>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</si>
  <si>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</si>
  <si>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</si>
  <si>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</si>
  <si>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</si>
  <si>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</si>
  <si>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</si>
  <si>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</si>
  <si>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</si>
  <si>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</si>
  <si>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</si>
  <si>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</si>
  <si>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</si>
  <si>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</si>
  <si>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</si>
  <si>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</si>
  <si>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</si>
  <si>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</si>
  <si>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</si>
  <si>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</si>
  <si>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</si>
  <si>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</si>
  <si>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</si>
  <si>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</si>
  <si>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</si>
  <si>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</si>
  <si>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</si>
  <si>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</si>
  <si>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</si>
  <si>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</si>
  <si>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</si>
  <si>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</si>
  <si>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</si>
  <si>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</si>
  <si>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</si>
  <si>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</si>
  <si>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</si>
  <si>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</si>
  <si>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</si>
  <si>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</si>
  <si>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</si>
  <si>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</si>
  <si>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</si>
  <si>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</si>
  <si>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</si>
  <si>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</si>
  <si>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</si>
  <si>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</si>
  <si>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</si>
  <si>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</si>
  <si>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</si>
  <si>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</si>
  <si>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</si>
  <si>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</si>
  <si>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</si>
  <si>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</si>
  <si>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</si>
  <si>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</si>
  <si>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</si>
  <si>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</si>
  <si>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</si>
  <si>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</si>
  <si>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</si>
  <si>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</si>
  <si>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</si>
  <si>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</si>
  <si>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</si>
  <si>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</si>
  <si>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</si>
  <si>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</si>
  <si>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</si>
  <si>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</si>
  <si>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</si>
  <si>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</si>
  <si>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</si>
  <si>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</si>
  <si>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</si>
  <si>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</si>
  <si>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</si>
  <si>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</si>
  <si>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</si>
  <si>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</si>
  <si>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</si>
  <si>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</si>
  <si>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</si>
  <si>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</si>
  <si>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</si>
  <si>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</si>
  <si>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</si>
  <si>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</si>
  <si>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</si>
  <si>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</si>
  <si>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</si>
  <si>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</si>
  <si>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</si>
  <si>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</si>
  <si>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</si>
  <si>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</si>
  <si>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</si>
  <si>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</si>
  <si>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</si>
  <si>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</si>
  <si>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</si>
  <si>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</si>
  <si>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</si>
  <si>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</si>
  <si>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</si>
  <si>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</si>
  <si>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</si>
  <si>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</si>
  <si>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</si>
  <si>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</si>
  <si>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</si>
  <si>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</si>
  <si>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</si>
  <si>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</si>
  <si>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</si>
  <si>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</si>
  <si>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</si>
  <si>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</si>
  <si>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</si>
  <si>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</si>
  <si>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</si>
  <si>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</si>
  <si>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</si>
  <si>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</si>
  <si>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</si>
  <si>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</si>
  <si>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</si>
  <si>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</si>
  <si>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</si>
  <si>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</si>
  <si>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</si>
  <si>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</si>
  <si>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</si>
  <si>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</si>
  <si>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</si>
  <si>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</si>
  <si>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</si>
  <si>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</si>
  <si>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</si>
  <si>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</si>
  <si>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</si>
  <si>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</si>
  <si>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</si>
  <si>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</si>
  <si>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</si>
  <si>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</si>
  <si>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</si>
  <si>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</si>
  <si>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</si>
  <si>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</si>
  <si>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</si>
  <si>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</si>
  <si>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</si>
  <si>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</si>
  <si>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</si>
  <si>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</si>
  <si>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</si>
  <si>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</si>
  <si>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</si>
  <si>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</si>
  <si>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</si>
  <si>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</si>
  <si>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</si>
  <si>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</si>
  <si>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</si>
  <si>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</si>
  <si>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</si>
  <si>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</si>
  <si>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</si>
  <si>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</si>
  <si>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</si>
  <si>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</si>
  <si>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</si>
  <si>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</si>
  <si>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</si>
  <si>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</si>
  <si>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</si>
  <si>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</si>
  <si>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</si>
  <si>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</si>
  <si>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</si>
  <si>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</si>
  <si>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</si>
  <si>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</si>
  <si>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</si>
  <si>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</si>
  <si>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</si>
  <si>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</si>
  <si>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</si>
  <si>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</si>
  <si>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</si>
  <si>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</si>
  <si>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</si>
  <si>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</si>
  <si>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</si>
  <si>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</si>
  <si>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</si>
  <si>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</si>
  <si>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</si>
  <si>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</si>
  <si>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</si>
  <si>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</si>
  <si>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</si>
  <si>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</si>
  <si>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</si>
  <si>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</si>
  <si>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</si>
  <si>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</si>
  <si>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</si>
  <si>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</si>
  <si>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</si>
  <si>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</si>
  <si>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</si>
  <si>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</si>
  <si>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</si>
  <si>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</si>
  <si>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</si>
  <si>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</si>
  <si>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</si>
  <si>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</si>
  <si>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</si>
  <si>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</si>
  <si>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</si>
  <si>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</si>
  <si>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</si>
  <si>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</si>
  <si>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</si>
  <si>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</si>
  <si>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</si>
  <si>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</si>
  <si>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</si>
  <si>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</si>
  <si>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</si>
  <si>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</si>
  <si>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</si>
  <si>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</si>
  <si>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</si>
  <si>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</si>
  <si>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</si>
  <si>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</si>
  <si>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</si>
  <si>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</si>
  <si>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</si>
  <si>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</si>
  <si>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</si>
  <si>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</si>
  <si>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</si>
  <si>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</si>
  <si>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</si>
  <si>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</si>
  <si>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</si>
  <si>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</si>
  <si>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</si>
  <si>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</si>
  <si>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</si>
  <si>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</si>
  <si>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</si>
  <si>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</si>
  <si>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</si>
  <si>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</si>
  <si>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</si>
  <si>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</si>
  <si>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</si>
  <si>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</si>
  <si>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</si>
  <si>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</si>
  <si>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</si>
  <si>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</si>
  <si>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</si>
  <si>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</si>
  <si>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</si>
  <si>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</si>
  <si>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</si>
  <si>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</si>
  <si>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</si>
  <si>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</si>
  <si>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</si>
  <si>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</si>
  <si>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</si>
  <si>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</si>
  <si>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</si>
  <si>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</si>
  <si>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</si>
  <si>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</si>
  <si>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</si>
  <si>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</si>
  <si>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</si>
  <si>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</si>
  <si>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</si>
  <si>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</si>
  <si>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</si>
  <si>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</si>
  <si>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</si>
  <si>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</si>
  <si>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</si>
  <si>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</si>
  <si>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</si>
  <si>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</si>
  <si>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</si>
  <si>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</si>
  <si>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</si>
  <si>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</si>
  <si>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</si>
  <si>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</si>
  <si>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</si>
  <si>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</si>
  <si>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</si>
  <si>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</si>
  <si>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</si>
  <si>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</si>
  <si>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</si>
  <si>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</si>
  <si>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</si>
  <si>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</si>
  <si>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</si>
  <si>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</si>
  <si>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</si>
  <si>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</si>
  <si>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</si>
  <si>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</si>
  <si>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</si>
  <si>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</si>
  <si>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</si>
  <si>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</si>
  <si>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</si>
  <si>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</si>
  <si>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</si>
  <si>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</si>
  <si>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</si>
  <si>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</si>
  <si>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</si>
  <si>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</si>
  <si>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</si>
  <si>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</si>
  <si>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</si>
  <si>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</si>
  <si>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</si>
  <si>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</si>
  <si>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</si>
  <si>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</si>
  <si>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</si>
  <si>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</si>
  <si>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</si>
  <si>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</si>
  <si>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</si>
  <si>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</si>
  <si>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</si>
  <si>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</si>
  <si>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</si>
  <si>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</si>
  <si>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</si>
  <si>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</si>
  <si>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</si>
  <si>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</si>
  <si>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</si>
  <si>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</si>
  <si>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</si>
  <si>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</si>
  <si>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</si>
  <si>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</si>
  <si>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</si>
  <si>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</si>
  <si>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</si>
  <si>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</si>
  <si>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</si>
  <si>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</si>
  <si>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</si>
  <si>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</si>
  <si>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</si>
  <si>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</si>
  <si>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</si>
  <si>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</si>
  <si>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</si>
  <si>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</si>
  <si>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</si>
  <si>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</si>
  <si>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</si>
  <si>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</si>
  <si>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</si>
  <si>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</si>
  <si>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</si>
  <si>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</si>
  <si>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</si>
  <si>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</si>
  <si>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</si>
  <si>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</si>
  <si>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</si>
  <si>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</si>
  <si>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</si>
  <si>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</si>
  <si>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</si>
  <si>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</si>
  <si>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</si>
  <si>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</si>
  <si>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</si>
  <si>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</si>
  <si>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</si>
  <si>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</si>
  <si>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</si>
  <si>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</si>
  <si>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</si>
  <si>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</si>
  <si>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</si>
  <si>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</si>
  <si>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</si>
  <si>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</si>
  <si>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</si>
  <si>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</si>
  <si>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</si>
  <si>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</si>
  <si>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</si>
  <si>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</si>
  <si>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</si>
  <si>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</si>
  <si>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</si>
  <si>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</si>
  <si>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</si>
  <si>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</si>
  <si>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</si>
  <si>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</si>
  <si>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</si>
  <si>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</si>
  <si>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</si>
  <si>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</si>
  <si>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</si>
  <si>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</si>
  <si>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</si>
  <si>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</si>
  <si>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</si>
  <si>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</si>
  <si>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</si>
  <si>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</si>
  <si>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</si>
  <si>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</si>
  <si>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</si>
  <si>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</si>
  <si>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</si>
  <si>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</si>
  <si>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</si>
  <si>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</si>
  <si>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</si>
  <si>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</si>
  <si>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</si>
  <si>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</si>
  <si>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</si>
  <si>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</si>
  <si>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</si>
  <si>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</si>
  <si>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</si>
  <si>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</si>
  <si>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</si>
  <si>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</si>
  <si>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</si>
  <si>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</si>
  <si>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</si>
  <si>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</si>
  <si>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</si>
  <si>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</si>
  <si>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</si>
  <si>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</si>
  <si>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</si>
  <si>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</si>
  <si>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</si>
  <si>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</si>
  <si>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</si>
  <si>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</si>
  <si>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</si>
  <si>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</si>
  <si>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</si>
  <si>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</si>
  <si>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</si>
  <si>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</si>
  <si>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</si>
  <si>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</si>
  <si>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</si>
  <si>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</si>
  <si>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</si>
  <si>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</si>
  <si>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</si>
  <si>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</si>
  <si>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</si>
  <si>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</si>
  <si>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</si>
  <si>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</si>
  <si>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</si>
  <si>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</si>
  <si>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</si>
  <si>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</si>
  <si>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</si>
  <si>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</si>
  <si>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</si>
  <si>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</si>
  <si>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</si>
  <si>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</si>
  <si>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</si>
  <si>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</si>
  <si>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</si>
  <si>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</si>
  <si>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</si>
  <si>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</si>
  <si>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</si>
  <si>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</si>
  <si>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</si>
  <si>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</si>
  <si>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</si>
  <si>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</si>
  <si>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</si>
  <si>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</si>
  <si>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</si>
  <si>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</si>
  <si>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</si>
  <si>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</si>
  <si>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</si>
  <si>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</si>
  <si>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</si>
  <si>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</si>
  <si>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</si>
  <si>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</si>
  <si>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</si>
  <si>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</si>
  <si>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</si>
  <si>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</si>
  <si>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</si>
  <si>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</si>
  <si>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</si>
  <si>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</si>
  <si>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</si>
  <si>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</si>
  <si>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</si>
  <si>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</si>
  <si>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</si>
  <si>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</si>
  <si>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</si>
  <si>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</si>
  <si>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</si>
  <si>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</si>
  <si>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</si>
  <si>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</si>
  <si>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</si>
  <si>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</si>
  <si>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</si>
  <si>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</si>
  <si>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</si>
  <si>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</si>
  <si>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</si>
  <si>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</si>
  <si>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</si>
  <si>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</si>
  <si>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</si>
  <si>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</si>
  <si>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</si>
  <si>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</si>
  <si>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</si>
  <si>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</si>
  <si>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</si>
  <si>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</si>
  <si>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</si>
  <si>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</si>
  <si>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</si>
  <si>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</si>
  <si>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</si>
  <si>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</si>
  <si>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</si>
  <si>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</si>
  <si>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</si>
  <si>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</si>
  <si>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</si>
  <si>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</si>
  <si>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</si>
  <si>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</si>
  <si>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</si>
  <si>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</si>
  <si>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</si>
  <si>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</si>
  <si>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</si>
  <si>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</si>
  <si>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</si>
  <si>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</si>
  <si>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</si>
  <si>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</si>
  <si>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</si>
  <si>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</si>
  <si>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</si>
  <si>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</si>
  <si>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</si>
  <si>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</si>
  <si>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</si>
  <si>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</si>
  <si>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</si>
  <si>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</si>
  <si>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</si>
  <si>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</si>
  <si>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</si>
  <si>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</si>
  <si>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</si>
  <si>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</si>
  <si>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</si>
  <si>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</si>
  <si>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</si>
  <si>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</si>
  <si>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</si>
  <si>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</si>
  <si>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</si>
  <si>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</si>
  <si>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</si>
  <si>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</si>
  <si>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</si>
  <si>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</si>
  <si>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</si>
  <si>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</si>
  <si>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</si>
  <si>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</si>
  <si>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</si>
  <si>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</si>
  <si>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</si>
  <si>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</si>
  <si>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</si>
  <si>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</si>
  <si>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</si>
  <si>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</si>
  <si>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</si>
  <si>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</si>
  <si>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</si>
  <si>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</si>
  <si>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</si>
  <si>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</si>
  <si>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</si>
  <si>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</si>
  <si>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</si>
  <si>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</si>
  <si>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</si>
  <si>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</si>
  <si>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</si>
  <si>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</si>
  <si>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</si>
  <si>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</si>
  <si>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</si>
  <si>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</si>
  <si>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</si>
  <si>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</si>
  <si>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</si>
  <si>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</si>
  <si>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</si>
  <si>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</si>
  <si>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</si>
  <si>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</si>
  <si>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</si>
  <si>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</si>
  <si>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</si>
  <si>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</si>
  <si>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</si>
  <si>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</si>
  <si>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</si>
  <si>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</si>
  <si>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</si>
  <si>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</si>
  <si>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</si>
  <si>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</si>
  <si>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</si>
  <si>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</si>
  <si>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</si>
  <si>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</si>
  <si>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</si>
  <si>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</si>
  <si>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</si>
  <si>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</si>
  <si>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</si>
  <si>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</si>
  <si>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</si>
  <si>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</si>
  <si>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</si>
  <si>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</si>
  <si>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</si>
  <si>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</si>
  <si>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</si>
  <si>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</si>
  <si>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</si>
  <si>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</si>
  <si>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</si>
  <si>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</si>
  <si>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</si>
  <si>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</si>
  <si>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</si>
  <si>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</si>
  <si>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</si>
  <si>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</si>
  <si>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</si>
  <si>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</si>
  <si>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</si>
  <si>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</si>
  <si>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</si>
  <si>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</si>
  <si>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</si>
  <si>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</si>
  <si>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</si>
  <si>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</si>
  <si>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</si>
  <si>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</si>
  <si>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</si>
  <si>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</si>
  <si>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</si>
  <si>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</si>
  <si>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</si>
  <si>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</si>
  <si>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</si>
  <si>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</si>
  <si>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</si>
  <si>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</si>
  <si>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</si>
  <si>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</si>
  <si>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</si>
  <si>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</si>
  <si>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</si>
  <si>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</si>
  <si>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</si>
  <si>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</si>
  <si>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</si>
  <si>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</si>
  <si>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</si>
  <si>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</si>
  <si>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</si>
  <si>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</si>
  <si>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</si>
  <si>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</si>
  <si>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</si>
  <si>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</si>
  <si>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</si>
  <si>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</si>
  <si>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</si>
  <si>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</si>
  <si>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</si>
  <si>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</si>
  <si>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</si>
  <si>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</si>
  <si>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</si>
  <si>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</si>
  <si>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</si>
  <si>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</si>
  <si>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</si>
  <si>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</si>
  <si>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</si>
  <si>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</si>
  <si>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</si>
  <si>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</si>
  <si>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</si>
  <si>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</si>
  <si>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</si>
  <si>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</si>
  <si>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</si>
  <si>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</si>
  <si>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</si>
  <si>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</si>
  <si>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</si>
  <si>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</si>
  <si>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</si>
  <si>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</si>
  <si>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</si>
  <si>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</si>
  <si>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</si>
  <si>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</si>
  <si>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</si>
  <si>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</si>
  <si>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</si>
  <si>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</si>
  <si>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</si>
  <si>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</si>
  <si>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</si>
  <si>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</si>
  <si>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</si>
  <si>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</si>
  <si>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</si>
  <si>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</si>
  <si>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</si>
  <si>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</si>
  <si>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</si>
  <si>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</si>
  <si>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</si>
  <si>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</si>
  <si>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</si>
  <si>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</si>
  <si>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</si>
  <si>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</si>
  <si>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</si>
  <si>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</si>
  <si>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</si>
  <si>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</si>
  <si>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</si>
  <si>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</si>
  <si>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</si>
  <si>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</si>
  <si>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</si>
  <si>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</si>
  <si>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</si>
  <si>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</si>
  <si>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</si>
  <si>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</si>
  <si>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</si>
  <si>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</si>
  <si>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</si>
  <si>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</si>
  <si>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</si>
  <si>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</si>
  <si>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</si>
  <si>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</si>
  <si>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</si>
  <si>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</si>
  <si>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</si>
  <si>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</si>
  <si>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</si>
  <si>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</si>
  <si>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</si>
  <si>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</si>
  <si>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</si>
  <si>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</si>
  <si>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</si>
  <si>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</si>
  <si>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</si>
  <si>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</si>
  <si>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</si>
  <si>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</si>
  <si>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</si>
  <si>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</si>
  <si>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</si>
  <si>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</si>
  <si>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</si>
  <si>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</si>
  <si>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</si>
  <si>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</si>
  <si>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</si>
  <si>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</si>
  <si>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</si>
  <si>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</si>
  <si>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</si>
  <si>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</si>
  <si>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</si>
  <si>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</si>
  <si>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</si>
  <si>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</si>
  <si>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</si>
  <si>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</si>
  <si>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</si>
  <si>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</si>
  <si>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</si>
  <si>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</si>
  <si>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</si>
  <si>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</si>
  <si>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</si>
  <si>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</si>
  <si>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</si>
  <si>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</si>
  <si>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</si>
  <si>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</si>
  <si>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</si>
  <si>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</si>
  <si>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</si>
  <si>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</si>
  <si>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</si>
  <si>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</si>
  <si>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</si>
  <si>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</si>
  <si>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</si>
  <si>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</si>
  <si>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</si>
  <si>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</si>
  <si>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</si>
  <si>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</si>
  <si>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</si>
  <si>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</si>
  <si>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</si>
  <si>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</si>
  <si>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</si>
  <si>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</si>
  <si>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</si>
  <si>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</si>
  <si>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</si>
  <si>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</si>
  <si>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</si>
  <si>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</si>
  <si>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</si>
  <si>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</si>
  <si>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</si>
  <si>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</si>
  <si>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</si>
  <si>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</si>
  <si>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</si>
  <si>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</si>
  <si>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</si>
  <si>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</si>
  <si>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</si>
  <si>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</si>
  <si>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</si>
  <si>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</si>
  <si>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</si>
  <si>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</si>
  <si>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</si>
  <si>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</si>
  <si>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</si>
  <si>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</si>
  <si>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</si>
  <si>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</si>
  <si>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</si>
  <si>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</si>
  <si>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</si>
  <si>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</si>
  <si>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</si>
  <si>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</si>
  <si>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</si>
  <si>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</si>
  <si>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</si>
  <si>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</si>
  <si>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</si>
  <si>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</si>
  <si>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</si>
  <si>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</si>
  <si>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</si>
  <si>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</si>
  <si>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</si>
  <si>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</si>
  <si>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</si>
  <si>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</si>
  <si>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</si>
  <si>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</si>
  <si>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</si>
  <si>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</si>
  <si>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</si>
  <si>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</si>
  <si>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</si>
  <si>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</si>
  <si>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</si>
  <si>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</si>
  <si>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</si>
  <si>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</si>
  <si>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</si>
  <si>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</si>
  <si>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</si>
  <si>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</si>
  <si>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</si>
  <si>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</si>
  <si>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</si>
  <si>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</si>
  <si>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</si>
  <si>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</si>
  <si>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</si>
  <si>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</si>
  <si>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</si>
  <si>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</si>
  <si>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</si>
  <si>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</si>
  <si>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</si>
  <si>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</si>
  <si>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</si>
  <si>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</si>
  <si>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</si>
  <si>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</si>
  <si>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</si>
  <si>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</si>
  <si>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</si>
  <si>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</si>
  <si>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</si>
  <si>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</si>
  <si>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</si>
  <si>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</si>
  <si>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</si>
  <si>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</si>
  <si>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</si>
  <si>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</si>
  <si>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</si>
  <si>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</si>
  <si>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</si>
  <si>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</si>
  <si>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</si>
  <si>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</si>
  <si>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</si>
  <si>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</si>
  <si>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</si>
  <si>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</si>
  <si>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</si>
  <si>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</si>
  <si>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</si>
  <si>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</si>
  <si>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</si>
  <si>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</si>
  <si>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</si>
  <si>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</si>
  <si>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</si>
  <si>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</si>
  <si>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</si>
  <si>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</si>
  <si>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</si>
  <si>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</si>
  <si>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</si>
  <si>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</si>
  <si>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</si>
  <si>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</si>
  <si>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</si>
  <si>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</si>
  <si>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</si>
  <si>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</si>
  <si>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</si>
  <si>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</si>
  <si>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</si>
  <si>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</si>
  <si>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</si>
  <si>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</si>
  <si>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</si>
  <si>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</si>
  <si>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</si>
  <si>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</si>
  <si>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</si>
  <si>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</si>
  <si>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</si>
  <si>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</si>
  <si>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</si>
  <si>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</si>
  <si>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</si>
  <si>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</si>
  <si>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</si>
  <si>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</si>
  <si>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</si>
  <si>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</si>
  <si>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</si>
  <si>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</si>
  <si>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</si>
  <si>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</si>
  <si>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</si>
  <si>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</si>
  <si>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</si>
  <si>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</si>
  <si>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</si>
  <si>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</si>
  <si>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</si>
  <si>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</si>
  <si>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</si>
  <si>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</si>
  <si>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</si>
  <si>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</si>
  <si>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</si>
  <si>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</si>
  <si>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</si>
  <si>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</si>
  <si>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</si>
  <si>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</si>
  <si>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</si>
  <si>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</si>
  <si>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</si>
  <si>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</si>
  <si>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</si>
  <si>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</si>
  <si>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</si>
  <si>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</si>
  <si>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</si>
  <si>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</si>
  <si>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</si>
  <si>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</si>
  <si>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</si>
  <si>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</si>
  <si>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</si>
  <si>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</si>
  <si>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</si>
  <si>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</si>
  <si>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</si>
  <si>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</si>
  <si>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</si>
  <si>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</si>
  <si>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</si>
  <si>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</si>
  <si>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</si>
  <si>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</si>
  <si>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</si>
  <si>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</si>
  <si>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</si>
  <si>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</si>
  <si>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</si>
  <si>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</si>
  <si>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</si>
  <si>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</si>
  <si>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</si>
  <si>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</si>
  <si>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</si>
  <si>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</si>
  <si>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</si>
  <si>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</si>
  <si>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</si>
  <si>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</si>
  <si>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</si>
  <si>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</si>
  <si>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</si>
  <si>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</si>
  <si>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</si>
  <si>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</si>
  <si>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</si>
  <si>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</si>
  <si>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</si>
  <si>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</si>
  <si>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</si>
  <si>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</si>
  <si>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</si>
  <si>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</si>
  <si>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</si>
  <si>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</si>
  <si>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</si>
  <si>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</si>
  <si>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</si>
  <si>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</si>
  <si>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</si>
  <si>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</si>
  <si>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</si>
  <si>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</si>
  <si>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</si>
  <si>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</si>
  <si>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</si>
  <si>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</si>
  <si>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</si>
  <si>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</si>
  <si>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</si>
  <si>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</si>
  <si>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</si>
  <si>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</si>
  <si>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</si>
  <si>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</si>
  <si>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</si>
  <si>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</si>
  <si>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</si>
  <si>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</si>
  <si>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</si>
  <si>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</si>
  <si>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</si>
  <si>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</si>
  <si>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</si>
  <si>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</si>
  <si>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</si>
  <si>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</si>
  <si>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</si>
  <si>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</si>
  <si>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</si>
  <si>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</si>
  <si>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</si>
  <si>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</si>
  <si>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</si>
  <si>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</si>
  <si>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</si>
  <si>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</si>
  <si>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</si>
  <si>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</si>
  <si>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</si>
  <si>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</si>
  <si>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</si>
  <si>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</si>
  <si>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</si>
  <si>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</si>
  <si>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</si>
  <si>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</si>
  <si>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</si>
  <si>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</si>
  <si>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</si>
  <si>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</si>
  <si>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</si>
  <si>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</si>
  <si>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</si>
  <si>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</si>
  <si>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</si>
  <si>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</si>
  <si>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</si>
  <si>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</si>
  <si>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</si>
  <si>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</si>
  <si>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</si>
  <si>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</si>
  <si>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</si>
  <si>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</si>
  <si>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</si>
  <si>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</si>
  <si>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</si>
  <si>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</si>
  <si>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</si>
  <si>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</si>
  <si>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</si>
  <si>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</si>
  <si>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</si>
  <si>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</si>
  <si>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</si>
  <si>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</si>
  <si>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</si>
  <si>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</si>
  <si>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</si>
  <si>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</si>
  <si>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</si>
  <si>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</si>
  <si>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</si>
  <si>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</si>
  <si>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</si>
  <si>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</si>
  <si>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</si>
  <si>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</si>
  <si>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</si>
  <si>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</si>
  <si>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</si>
  <si>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</si>
  <si>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</si>
  <si>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</si>
  <si>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</si>
  <si>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</si>
  <si>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</si>
  <si>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</si>
  <si>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</si>
  <si>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</si>
  <si>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</si>
  <si>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</si>
  <si>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</si>
  <si>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</si>
  <si>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</si>
  <si>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</si>
  <si>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</si>
  <si>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</si>
  <si>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</si>
  <si>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</si>
  <si>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</si>
  <si>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</si>
  <si>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</si>
  <si>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</si>
  <si>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</si>
  <si>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</si>
  <si>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</si>
  <si>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</si>
  <si>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</si>
  <si>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</si>
  <si>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</si>
  <si>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</si>
  <si>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</si>
  <si>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</si>
  <si>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</si>
  <si>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</si>
  <si>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</si>
  <si>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</si>
  <si>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</si>
  <si>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</si>
  <si>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</si>
  <si>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</si>
  <si>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</si>
  <si>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</si>
  <si>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</si>
  <si>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</si>
  <si>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</si>
  <si>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</si>
  <si>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</si>
  <si>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</si>
  <si>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</si>
  <si>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</si>
  <si>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</si>
  <si>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</si>
  <si>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</si>
  <si>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</si>
  <si>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</si>
  <si>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</si>
  <si>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</si>
  <si>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</si>
  <si>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</si>
  <si>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</si>
  <si>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</si>
  <si>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</si>
  <si>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</si>
  <si>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</si>
  <si>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</si>
  <si>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</si>
  <si>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</si>
  <si>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</si>
  <si>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</si>
  <si>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</si>
  <si>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</si>
  <si>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</si>
  <si>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</si>
  <si>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</si>
  <si>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</si>
  <si>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</si>
  <si>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</si>
  <si>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</si>
  <si>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</si>
  <si>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</si>
  <si>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</si>
  <si>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</si>
  <si>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</si>
  <si>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</si>
  <si>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</si>
  <si>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</si>
  <si>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</si>
  <si>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</si>
  <si>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</si>
  <si>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</si>
  <si>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</si>
  <si>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</si>
  <si>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</si>
  <si>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</si>
  <si>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</si>
  <si>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</si>
  <si>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</si>
  <si>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</si>
  <si>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</si>
  <si>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</si>
  <si>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</si>
  <si>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</si>
  <si>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</si>
  <si>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</si>
  <si>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</si>
  <si>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</si>
  <si>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</si>
  <si>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</si>
  <si>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</si>
  <si>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</si>
  <si>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</si>
  <si>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</si>
  <si>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</si>
  <si>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</si>
  <si>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</si>
  <si>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</si>
  <si>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</si>
  <si>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</si>
  <si>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</si>
  <si>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</si>
  <si>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</si>
  <si>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</si>
  <si>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</si>
  <si>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</si>
  <si>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</si>
  <si>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</si>
  <si>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</si>
  <si>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</si>
  <si>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</si>
  <si>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</si>
  <si>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</si>
  <si>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</si>
  <si>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</si>
  <si>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</si>
  <si>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</si>
  <si>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</si>
  <si>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</si>
  <si>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</si>
  <si>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</si>
  <si>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</si>
  <si>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</si>
  <si>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</si>
  <si>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</si>
  <si>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</si>
  <si>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</si>
  <si>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</si>
  <si>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</si>
  <si>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</si>
  <si>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</si>
  <si>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</si>
  <si>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</si>
  <si>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</si>
  <si>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</si>
  <si>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</si>
  <si>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</si>
  <si>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</si>
  <si>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</si>
  <si>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</si>
  <si>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</si>
  <si>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</si>
  <si>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</si>
  <si>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</si>
  <si>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</si>
  <si>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</si>
  <si>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</si>
  <si>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</si>
  <si>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</si>
  <si>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</si>
  <si>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</si>
  <si>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</si>
  <si>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</si>
  <si>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</si>
  <si>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</si>
  <si>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</si>
  <si>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</si>
  <si>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</si>
  <si>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</si>
  <si>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</si>
  <si>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</si>
  <si>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</si>
  <si>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</si>
  <si>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</si>
  <si>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</si>
  <si>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</si>
  <si>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</si>
  <si>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</si>
  <si>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</si>
  <si>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</si>
  <si>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</si>
  <si>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</si>
  <si>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</si>
  <si>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</si>
  <si>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</si>
  <si>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</si>
  <si>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</si>
  <si>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</si>
  <si>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</si>
  <si>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</si>
  <si>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</si>
  <si>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</si>
  <si>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</si>
  <si>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</si>
  <si>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</si>
  <si>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</si>
  <si>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</si>
  <si>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</si>
  <si>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</si>
  <si>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</si>
  <si>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</si>
  <si>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</si>
  <si>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</si>
  <si>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</si>
  <si>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</si>
  <si>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</si>
  <si>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</si>
  <si>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</si>
  <si>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</si>
  <si>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</si>
  <si>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</si>
  <si>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</si>
  <si>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</si>
  <si>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</si>
  <si>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</si>
  <si>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</si>
  <si>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</si>
  <si>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</si>
  <si>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</si>
  <si>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</si>
  <si>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</si>
  <si>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</si>
  <si>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</si>
  <si>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</si>
  <si>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</si>
  <si>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</si>
  <si>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</si>
  <si>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</si>
  <si>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</si>
  <si>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</si>
  <si>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</si>
  <si>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</si>
  <si>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</si>
  <si>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</si>
  <si>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</si>
  <si>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</si>
  <si>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</si>
  <si>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</si>
  <si>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</si>
  <si>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</si>
  <si>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</si>
  <si>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</si>
  <si>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</si>
  <si>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</si>
  <si>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</si>
  <si>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</si>
  <si>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</si>
  <si>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</si>
  <si>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</si>
  <si>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</si>
  <si>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</si>
  <si>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</si>
  <si>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</si>
  <si>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</si>
  <si>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</si>
  <si>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</si>
  <si>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</si>
  <si>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</si>
  <si>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</si>
  <si>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</si>
  <si>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</si>
  <si>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</si>
  <si>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</si>
  <si>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</si>
  <si>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</si>
  <si>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</si>
  <si>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</si>
  <si>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</si>
  <si>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</si>
  <si>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</si>
  <si>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</si>
  <si>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</si>
  <si>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</si>
  <si>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</si>
  <si>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</si>
  <si>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</si>
  <si>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</si>
  <si>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</si>
  <si>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</si>
  <si>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</si>
  <si>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</si>
  <si>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</si>
  <si>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</si>
  <si>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</si>
  <si>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</si>
  <si>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</si>
  <si>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</si>
  <si>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</si>
  <si>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</si>
  <si>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</si>
  <si>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</si>
  <si>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</si>
  <si>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</si>
  <si>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</si>
  <si>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</si>
  <si>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</si>
  <si>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</si>
  <si>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</si>
  <si>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</si>
  <si>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</si>
  <si>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</si>
  <si>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</si>
  <si>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</si>
  <si>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</si>
  <si>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</si>
  <si>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</si>
  <si>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</si>
  <si>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</si>
  <si>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</si>
  <si>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</si>
  <si>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</si>
  <si>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</si>
  <si>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</si>
  <si>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</si>
  <si>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</si>
  <si>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</si>
  <si>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</si>
  <si>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</si>
  <si>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</si>
  <si>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</si>
  <si>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</si>
  <si>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</si>
  <si>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</si>
  <si>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</si>
  <si>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</si>
  <si>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</si>
  <si>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</si>
  <si>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</si>
  <si>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</si>
  <si>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</si>
  <si>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</si>
  <si>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</si>
  <si>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</si>
  <si>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</si>
  <si>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</si>
  <si>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</si>
  <si>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</si>
  <si>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</si>
  <si>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</si>
  <si>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</si>
  <si>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</si>
  <si>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</si>
  <si>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</si>
  <si>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</si>
  <si>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</si>
  <si>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</si>
  <si>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</si>
  <si>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</si>
  <si>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</si>
  <si>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</si>
  <si>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</si>
  <si>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</si>
  <si>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</si>
  <si>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</si>
  <si>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</si>
  <si>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</si>
  <si>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</si>
  <si>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</si>
  <si>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</si>
  <si>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</si>
  <si>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</si>
  <si>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</si>
  <si>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</si>
  <si>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</si>
  <si>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</si>
  <si>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</si>
  <si>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</si>
  <si>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</si>
  <si>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</si>
  <si>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</si>
  <si>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</si>
  <si>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</si>
  <si>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</si>
  <si>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</si>
  <si>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</si>
  <si>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</si>
  <si>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</si>
  <si>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</si>
  <si>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</si>
  <si>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</si>
  <si>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</si>
  <si>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</si>
  <si>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</si>
  <si>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</si>
  <si>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</si>
  <si>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</si>
  <si>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</si>
  <si>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</si>
  <si>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</si>
  <si>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</si>
  <si>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</si>
  <si>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</si>
  <si>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</si>
  <si>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</si>
  <si>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</si>
  <si>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</si>
  <si>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</si>
  <si>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</si>
  <si>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</si>
  <si>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</si>
  <si>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</si>
  <si>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</si>
  <si>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</si>
  <si>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</si>
  <si>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</si>
  <si>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</si>
  <si>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</si>
  <si>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</si>
  <si>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</si>
  <si>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</si>
  <si>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</si>
  <si>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</si>
  <si>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</si>
  <si>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</si>
  <si>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</si>
  <si>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</si>
  <si>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</si>
  <si>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</si>
  <si>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</si>
  <si>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</si>
  <si>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</si>
  <si>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</si>
  <si>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</si>
  <si>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</si>
  <si>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</si>
  <si>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</si>
  <si>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</si>
  <si>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</si>
  <si>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</si>
  <si>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</si>
  <si>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</si>
  <si>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</si>
  <si>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</si>
  <si>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</si>
  <si>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</si>
  <si>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</si>
  <si>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</si>
  <si>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</si>
  <si>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</si>
  <si>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</si>
  <si>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</si>
  <si>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</si>
  <si>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</si>
  <si>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</si>
  <si>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</si>
  <si>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</si>
  <si>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</si>
  <si>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</si>
  <si>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</si>
  <si>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</si>
  <si>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</si>
  <si>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</si>
  <si>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</si>
  <si>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</si>
  <si>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</si>
  <si>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</si>
  <si>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</si>
  <si>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</si>
  <si>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</si>
  <si>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</si>
  <si>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</si>
  <si>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</si>
  <si>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</si>
  <si>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</si>
  <si>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</si>
  <si>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</si>
  <si>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</si>
  <si>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</si>
  <si>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</si>
  <si>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</si>
  <si>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</si>
  <si>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</si>
  <si>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</si>
  <si>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</si>
  <si>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</si>
  <si>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</si>
  <si>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</si>
  <si>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</si>
  <si>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</si>
  <si>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</si>
  <si>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</si>
  <si>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</si>
  <si>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</si>
  <si>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</si>
  <si>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</si>
  <si>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</si>
  <si>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</si>
  <si>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</si>
  <si>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</si>
  <si>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</si>
  <si>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</si>
  <si>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</si>
  <si>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</si>
  <si>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</si>
  <si>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</si>
  <si>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</si>
  <si>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</si>
  <si>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</si>
  <si>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</si>
  <si>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</si>
  <si>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</si>
  <si>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</si>
  <si>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</si>
  <si>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</si>
  <si>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</si>
  <si>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</si>
  <si>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</si>
  <si>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</si>
  <si>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</si>
  <si>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</si>
  <si>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</si>
  <si>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</si>
  <si>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</si>
  <si>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</si>
  <si>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</si>
  <si>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</si>
  <si>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</si>
  <si>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</si>
  <si>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</si>
  <si>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</si>
  <si>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</si>
  <si>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</si>
  <si>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</si>
  <si>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</si>
  <si>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</si>
  <si>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</si>
  <si>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</si>
  <si>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</si>
  <si>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</si>
  <si>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</si>
  <si>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</si>
  <si>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</si>
  <si>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</si>
  <si>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</si>
  <si>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</si>
  <si>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</si>
  <si>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</si>
  <si>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</si>
  <si>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</si>
  <si>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</si>
  <si>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</si>
  <si>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</si>
  <si>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</si>
  <si>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</si>
  <si>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</si>
  <si>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</si>
  <si>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</si>
  <si>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</si>
  <si>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</si>
  <si>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</si>
  <si>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</si>
  <si>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</si>
  <si>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</si>
  <si>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</si>
  <si>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</si>
  <si>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</si>
  <si>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</si>
  <si>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</si>
  <si>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</si>
  <si>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</si>
  <si>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</si>
  <si>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</si>
  <si>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</si>
  <si>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</si>
  <si>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</si>
  <si>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</si>
  <si>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</si>
  <si>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</si>
  <si>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</si>
  <si>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</si>
  <si>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</si>
  <si>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</si>
  <si>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</si>
  <si>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</si>
  <si>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</si>
  <si>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</si>
  <si>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</si>
  <si>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</si>
  <si>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</si>
  <si>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</si>
  <si>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</si>
  <si>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</si>
  <si>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</si>
  <si>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</si>
  <si>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</si>
  <si>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</si>
  <si>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</si>
  <si>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</si>
  <si>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</si>
  <si>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</si>
  <si>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</si>
  <si>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</si>
  <si>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</si>
  <si>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</si>
  <si>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</si>
  <si>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</si>
  <si>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</si>
  <si>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</si>
  <si>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</si>
  <si>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</si>
  <si>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</si>
  <si>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</si>
  <si>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</si>
  <si>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</si>
  <si>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</si>
  <si>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</si>
  <si>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</si>
  <si>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</si>
  <si>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</si>
  <si>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</si>
  <si>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</si>
  <si>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</si>
  <si>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</si>
  <si>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</si>
  <si>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</si>
  <si>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</si>
  <si>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</si>
  <si>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</si>
  <si>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</si>
  <si>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</si>
  <si>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</si>
  <si>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</si>
  <si>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</si>
  <si>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</si>
  <si>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</si>
  <si>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</si>
  <si>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</si>
  <si>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</si>
  <si>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</si>
  <si>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</si>
  <si>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</si>
  <si>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</si>
  <si>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</si>
  <si>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</si>
  <si>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</si>
  <si>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</si>
  <si>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</si>
  <si>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</si>
  <si>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</si>
  <si>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</si>
  <si>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</si>
  <si>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</si>
  <si>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</si>
  <si>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</si>
  <si>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</si>
  <si>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</si>
  <si>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</si>
  <si>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</si>
  <si>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</si>
  <si>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</si>
  <si>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</si>
  <si>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</si>
  <si>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</si>
  <si>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</si>
  <si>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</si>
  <si>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</si>
  <si>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</si>
  <si>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</si>
  <si>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</si>
  <si>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</si>
  <si>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</si>
  <si>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</si>
  <si>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</si>
  <si>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</si>
  <si>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</si>
  <si>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</si>
  <si>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</si>
  <si>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</si>
  <si>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</si>
  <si>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</si>
  <si>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</si>
  <si>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</si>
  <si>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</si>
  <si>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</si>
  <si>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</si>
  <si>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</si>
  <si>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</si>
  <si>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</si>
  <si>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</si>
  <si>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</si>
  <si>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</si>
  <si>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</si>
  <si>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</si>
  <si>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</si>
  <si>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</si>
  <si>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</si>
  <si>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</si>
  <si>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</si>
  <si>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</si>
  <si>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</si>
  <si>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</si>
  <si>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</si>
  <si>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</si>
  <si>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</si>
  <si>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</si>
  <si>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</si>
  <si>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</si>
  <si>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</si>
  <si>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</si>
  <si>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</si>
  <si>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</si>
  <si>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</si>
  <si>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</si>
  <si>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</si>
  <si>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</si>
  <si>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</si>
  <si>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</si>
  <si>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</si>
  <si>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</si>
  <si>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</si>
  <si>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</si>
  <si>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</si>
  <si>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</si>
  <si>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</si>
  <si>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</si>
  <si>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</si>
  <si>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</si>
  <si>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</si>
  <si>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</si>
  <si>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</si>
  <si>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</si>
  <si>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</si>
  <si>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</si>
  <si>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</si>
  <si>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</si>
  <si>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</si>
  <si>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</si>
  <si>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</si>
  <si>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</si>
  <si>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</si>
  <si>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</si>
  <si>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</si>
  <si>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</si>
  <si>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</si>
  <si>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</si>
  <si>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</si>
  <si>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</si>
  <si>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</si>
  <si>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</si>
  <si>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</si>
  <si>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</si>
  <si>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</si>
  <si>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</si>
  <si>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</si>
  <si>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</si>
  <si>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</si>
  <si>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</si>
  <si>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</si>
  <si>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</si>
  <si>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</si>
  <si>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</si>
  <si>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</si>
  <si>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</si>
  <si>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</si>
  <si>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</si>
  <si>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</si>
  <si>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</si>
  <si>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</si>
  <si>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</si>
  <si>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</si>
  <si>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</si>
  <si>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</si>
  <si>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</si>
  <si>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</si>
  <si>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</si>
  <si>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</si>
  <si>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</si>
  <si>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</si>
  <si>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</si>
  <si>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</si>
  <si>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</si>
  <si>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</si>
  <si>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</si>
  <si>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</si>
  <si>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</si>
  <si>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</si>
  <si>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</si>
  <si>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</si>
  <si>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</si>
  <si>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</si>
  <si>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</si>
  <si>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</si>
  <si>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</si>
  <si>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</si>
  <si>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</si>
  <si>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</si>
  <si>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</si>
  <si>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</si>
  <si>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</si>
  <si>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</si>
  <si>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</si>
  <si>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</si>
  <si>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</si>
  <si>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</si>
  <si>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</si>
  <si>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</si>
  <si>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</si>
  <si>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</si>
  <si>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</si>
  <si>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</si>
  <si>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</si>
  <si>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</si>
  <si>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</si>
  <si>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</si>
  <si>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</si>
  <si>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</si>
  <si>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</si>
  <si>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</si>
  <si>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</si>
  <si>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</si>
  <si>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</si>
  <si>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</si>
  <si>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</si>
  <si>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</si>
  <si>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</si>
  <si>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</si>
  <si>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</si>
  <si>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</si>
  <si>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</si>
  <si>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</si>
  <si>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</si>
  <si>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</si>
  <si>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</si>
  <si>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</si>
  <si>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</si>
  <si>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</si>
  <si>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</si>
  <si>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</si>
  <si>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</si>
  <si>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</si>
  <si>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</si>
  <si>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</si>
  <si>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</si>
  <si>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</si>
  <si>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</si>
  <si>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</si>
  <si>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</si>
  <si>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</si>
  <si>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</si>
  <si>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</si>
  <si>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</si>
  <si>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</si>
  <si>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</si>
  <si>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</si>
  <si>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</si>
  <si>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</si>
  <si>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</si>
  <si>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</si>
  <si>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</si>
  <si>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</si>
  <si>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</si>
  <si>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</si>
  <si>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</si>
  <si>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</si>
  <si>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</si>
  <si>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</si>
  <si>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</si>
  <si>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</si>
  <si>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</si>
  <si>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</si>
  <si>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</si>
  <si>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</si>
  <si>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</si>
  <si>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</si>
  <si>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</si>
  <si>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</si>
  <si>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</si>
  <si>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</si>
  <si>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</si>
  <si>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</si>
  <si>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</si>
  <si>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</si>
  <si>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</si>
  <si>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</si>
  <si>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</si>
  <si>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</si>
  <si>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</si>
  <si>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</si>
  <si>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</si>
  <si>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</si>
  <si>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</si>
  <si>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</si>
  <si>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</si>
  <si>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</si>
  <si>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</si>
  <si>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</si>
  <si>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</si>
  <si>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</si>
  <si>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</si>
  <si>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</si>
  <si>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</si>
  <si>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</si>
  <si>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</si>
  <si>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</si>
  <si>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</si>
  <si>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</si>
  <si>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</si>
  <si>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</si>
  <si>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</si>
  <si>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</si>
  <si>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</si>
  <si>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</si>
  <si>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</si>
  <si>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</si>
  <si>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</si>
  <si>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</si>
  <si>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</si>
  <si>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</si>
  <si>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</si>
  <si>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</si>
  <si>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</si>
  <si>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</si>
  <si>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</si>
  <si>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</si>
  <si>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</si>
  <si>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</si>
  <si>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</si>
  <si>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</si>
  <si>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</si>
  <si>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</si>
  <si>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</si>
  <si>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</si>
  <si>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</si>
  <si>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</si>
  <si>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</si>
  <si>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</si>
  <si>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</si>
  <si>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</si>
  <si>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</si>
  <si>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</si>
  <si>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</si>
  <si>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</si>
  <si>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</si>
  <si>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</si>
  <si>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</si>
  <si>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</si>
  <si>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</si>
  <si>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</si>
  <si>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</si>
  <si>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</si>
  <si>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</si>
  <si>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</si>
  <si>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</si>
  <si>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</si>
  <si>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</si>
  <si>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</si>
  <si>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</si>
  <si>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</si>
  <si>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</si>
  <si>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</si>
  <si>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</si>
  <si>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</si>
  <si>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</si>
  <si>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</si>
  <si>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</si>
  <si>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</si>
  <si>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</si>
  <si>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</si>
  <si>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</si>
  <si>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</si>
  <si>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</si>
  <si>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</si>
  <si>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</si>
  <si>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</si>
  <si>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</si>
  <si>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</si>
  <si>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</si>
  <si>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</si>
  <si>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</si>
  <si>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</si>
  <si>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</si>
  <si>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</si>
  <si>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</si>
  <si>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</si>
  <si>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</si>
  <si>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</si>
  <si>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</si>
  <si>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</si>
  <si>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</si>
  <si>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</si>
  <si>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</si>
  <si>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</si>
  <si>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</si>
  <si>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</si>
  <si>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</si>
  <si>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</si>
  <si>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</si>
  <si>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</si>
  <si>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</si>
  <si>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</si>
  <si>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</si>
  <si>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</si>
  <si>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</si>
  <si>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</si>
  <si>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</si>
  <si>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</si>
  <si>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</si>
  <si>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</si>
  <si>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</si>
  <si>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</si>
  <si>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</si>
  <si>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</si>
  <si>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</si>
  <si>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</si>
  <si>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</si>
  <si>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</si>
  <si>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</si>
  <si>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</si>
  <si>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</si>
  <si>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</si>
  <si>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</si>
  <si>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</si>
  <si>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</si>
  <si>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</si>
  <si>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</si>
  <si>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</si>
  <si>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</si>
  <si>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</si>
  <si>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</si>
  <si>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</si>
  <si>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</si>
  <si>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</si>
  <si>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</si>
  <si>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</si>
  <si>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</si>
  <si>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</si>
  <si>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</si>
  <si>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</si>
  <si>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</si>
  <si>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</si>
  <si>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</si>
  <si>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</si>
  <si>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</si>
  <si>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</si>
  <si>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</si>
  <si>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</si>
  <si>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</si>
  <si>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</si>
  <si>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</si>
  <si>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</si>
  <si>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</si>
  <si>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</si>
  <si>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</si>
  <si>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</si>
  <si>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</si>
  <si>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</si>
  <si>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</si>
  <si>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</si>
  <si>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</si>
  <si>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</si>
  <si>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</si>
  <si>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</si>
  <si>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</si>
  <si>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</si>
  <si>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</si>
  <si>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</si>
  <si>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</si>
  <si>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</si>
  <si>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</si>
  <si>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</si>
  <si>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</si>
  <si>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</si>
  <si>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</si>
  <si>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</si>
  <si>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</si>
  <si>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</si>
  <si>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</si>
  <si>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</si>
  <si>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</si>
  <si>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</si>
  <si>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</si>
  <si>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</si>
  <si>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</si>
  <si>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</si>
  <si>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</si>
  <si>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</si>
  <si>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</si>
  <si>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</si>
  <si>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</si>
  <si>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</si>
  <si>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</si>
  <si>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</si>
  <si>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</si>
  <si>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</si>
  <si>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</si>
  <si>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</si>
  <si>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</si>
  <si>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</si>
  <si>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</si>
  <si>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</si>
  <si>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</si>
  <si>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</si>
  <si>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</si>
  <si>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</si>
  <si>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</si>
  <si>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</si>
  <si>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</si>
  <si>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</si>
  <si>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</si>
  <si>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</si>
  <si>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</si>
  <si>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</si>
  <si>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</si>
  <si>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</si>
  <si>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</si>
  <si>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</si>
  <si>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</si>
  <si>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</si>
  <si>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</si>
  <si>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</si>
  <si>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</si>
  <si>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</si>
  <si>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</si>
  <si>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</si>
  <si>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</si>
  <si>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</si>
  <si>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</si>
  <si>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</si>
  <si>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</si>
  <si>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</si>
  <si>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</si>
  <si>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</si>
  <si>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</si>
  <si>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</si>
  <si>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</si>
  <si>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</si>
  <si>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</si>
  <si>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</si>
  <si>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</si>
  <si>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</si>
  <si>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</si>
  <si>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</si>
  <si>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</si>
  <si>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</si>
  <si>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</si>
  <si>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</si>
  <si>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</si>
  <si>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</si>
  <si>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</si>
  <si>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</si>
  <si>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</si>
  <si>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</si>
  <si>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</si>
  <si>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</si>
  <si>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</si>
  <si>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</si>
  <si>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</si>
  <si>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</si>
  <si>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</si>
  <si>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</si>
  <si>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</si>
  <si>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</si>
  <si>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</si>
  <si>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</si>
  <si>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</si>
  <si>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</si>
  <si>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</si>
  <si>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</si>
  <si>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</si>
  <si>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</si>
  <si>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</si>
  <si>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</si>
  <si>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</si>
  <si>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</si>
  <si>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</si>
  <si>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</si>
  <si>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</si>
  <si>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</si>
  <si>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</si>
  <si>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</si>
  <si>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</si>
  <si>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</si>
  <si>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</si>
  <si>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</si>
  <si>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</si>
  <si>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</si>
  <si>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</si>
  <si>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</si>
  <si>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</si>
  <si>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</si>
  <si>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</si>
  <si>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</si>
  <si>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</si>
  <si>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</si>
  <si>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</si>
  <si>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</si>
  <si>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</si>
  <si>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</si>
  <si>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</si>
  <si>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</si>
  <si>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</si>
  <si>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</si>
  <si>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</si>
  <si>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</si>
  <si>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</si>
  <si>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</si>
  <si>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</si>
  <si>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</si>
  <si>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</si>
  <si>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</si>
  <si>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</si>
  <si>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</si>
  <si>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</si>
  <si>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</si>
  <si>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</si>
  <si>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</si>
  <si>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</si>
  <si>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</si>
  <si>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</si>
  <si>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</si>
  <si>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</si>
  <si>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</si>
  <si>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</si>
  <si>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</si>
  <si>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</si>
  <si>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</si>
  <si>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</si>
  <si>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</si>
  <si>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</si>
  <si>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</si>
  <si>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</si>
  <si>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</si>
  <si>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</si>
  <si>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</si>
  <si>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</si>
  <si>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</si>
  <si>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</si>
  <si>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</si>
  <si>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</si>
  <si>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</si>
  <si>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</si>
  <si>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</si>
  <si>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</si>
  <si>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</si>
  <si>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</si>
  <si>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</si>
  <si>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</si>
  <si>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</si>
  <si>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</si>
  <si>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</si>
  <si>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</si>
  <si>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</si>
  <si>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</si>
  <si>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</si>
  <si>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</si>
  <si>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</si>
  <si>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</si>
  <si>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</si>
  <si>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</si>
  <si>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</si>
  <si>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</si>
  <si>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</si>
  <si>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</si>
  <si>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</si>
  <si>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</si>
  <si>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</si>
  <si>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</si>
  <si>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</si>
  <si>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</si>
  <si>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</si>
  <si>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</si>
  <si>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</si>
  <si>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</si>
  <si>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</si>
  <si>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</si>
  <si>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</si>
  <si>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</si>
  <si>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</si>
  <si>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</si>
  <si>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</si>
  <si>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</si>
  <si>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</si>
  <si>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</si>
  <si>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</si>
  <si>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</si>
  <si>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</si>
  <si>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</si>
  <si>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</si>
  <si>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</si>
  <si>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</si>
  <si>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</si>
  <si>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</si>
  <si>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</si>
  <si>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</si>
  <si>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</si>
  <si>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</si>
  <si>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</si>
  <si>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</si>
  <si>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</si>
  <si>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</si>
  <si>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</si>
  <si>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</si>
  <si>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</si>
  <si>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</si>
  <si>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</si>
  <si>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</si>
  <si>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</si>
  <si>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</si>
  <si>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</si>
  <si>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</si>
  <si>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</si>
  <si>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</si>
  <si>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</si>
  <si>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</si>
  <si>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</si>
  <si>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</si>
  <si>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</si>
  <si>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</si>
  <si>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</si>
  <si>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</si>
  <si>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</si>
  <si>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</si>
  <si>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</si>
  <si>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</si>
  <si>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</si>
  <si>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</si>
  <si>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</si>
  <si>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</si>
  <si>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</si>
  <si>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</si>
  <si>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</si>
  <si>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</si>
  <si>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</si>
  <si>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</si>
  <si>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</si>
  <si>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</si>
  <si>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</si>
  <si>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</si>
  <si>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</si>
  <si>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</si>
  <si>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</si>
  <si>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</si>
  <si>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</si>
  <si>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</si>
  <si>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</si>
  <si>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</si>
  <si>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</si>
  <si>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</si>
  <si>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</si>
  <si>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</si>
  <si>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</si>
  <si>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</si>
  <si>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</si>
  <si>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</si>
  <si>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</si>
  <si>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</si>
  <si>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</si>
  <si>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</si>
  <si>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</si>
  <si>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</si>
  <si>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</si>
  <si>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</si>
  <si>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</si>
  <si>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</si>
  <si>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</si>
  <si>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</si>
  <si>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</si>
  <si>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</si>
  <si>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</si>
  <si>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</si>
  <si>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</si>
  <si>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</si>
  <si>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</si>
  <si>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</si>
  <si>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</si>
  <si>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</si>
  <si>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</si>
  <si>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</si>
  <si>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</si>
  <si>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</si>
  <si>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</si>
  <si>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</si>
  <si>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</si>
  <si>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</si>
  <si>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</si>
  <si>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</si>
  <si>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</si>
  <si>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</si>
  <si>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</si>
  <si>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</si>
  <si>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</si>
  <si>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</si>
  <si>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</si>
  <si>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</si>
  <si>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</si>
  <si>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</si>
  <si>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</si>
  <si>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</si>
  <si>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</si>
  <si>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</si>
  <si>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</si>
  <si>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</si>
  <si>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</si>
  <si>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</si>
  <si>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</si>
  <si>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</si>
  <si>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</si>
  <si>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</si>
  <si>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</si>
  <si>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</si>
  <si>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</si>
  <si>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</si>
  <si>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</si>
  <si>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</si>
  <si>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</si>
  <si>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</si>
  <si>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</si>
  <si>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</si>
  <si>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</si>
  <si>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</si>
  <si>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</si>
  <si>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</si>
  <si>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</si>
  <si>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</si>
  <si>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</si>
  <si>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</si>
  <si>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</si>
  <si>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</si>
  <si>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</si>
  <si>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</si>
  <si>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</si>
  <si>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</si>
  <si>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</si>
  <si>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</si>
  <si>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</si>
  <si>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</si>
  <si>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</si>
  <si>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</si>
  <si>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</si>
  <si>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</si>
  <si>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</si>
  <si>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</si>
  <si>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</si>
  <si>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</si>
  <si>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</si>
  <si>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</si>
  <si>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</si>
  <si>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</si>
  <si>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</si>
  <si>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</si>
  <si>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</si>
  <si>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</si>
  <si>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</si>
  <si>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</si>
  <si>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</si>
  <si>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</si>
  <si>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</si>
  <si>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</si>
  <si>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</si>
  <si>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</si>
  <si>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</si>
  <si>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</si>
  <si>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</si>
  <si>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</si>
  <si>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</si>
  <si>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</si>
  <si>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</si>
  <si>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</si>
  <si>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</si>
  <si>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</si>
  <si>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</si>
  <si>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</si>
  <si>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</si>
  <si>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</si>
  <si>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</si>
  <si>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</si>
  <si>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</si>
  <si>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</si>
  <si>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</si>
  <si>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</si>
  <si>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</si>
  <si>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</si>
  <si>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</si>
  <si>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</si>
  <si>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</si>
  <si>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</si>
  <si>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</si>
  <si>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</si>
  <si>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</si>
  <si>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</si>
  <si>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</si>
  <si>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</si>
  <si>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</si>
  <si>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</si>
  <si>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</si>
  <si>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</si>
  <si>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</si>
  <si>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</si>
  <si>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</si>
  <si>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</si>
  <si>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</si>
  <si>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</si>
  <si>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</si>
  <si>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</si>
  <si>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</si>
  <si>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</si>
  <si>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</si>
  <si>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</si>
  <si>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</si>
  <si>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</si>
  <si>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</si>
  <si>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</si>
  <si>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</si>
  <si>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</si>
  <si>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</si>
  <si>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</si>
  <si>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</si>
  <si>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</si>
  <si>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</si>
  <si>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</si>
  <si>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</si>
  <si>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</si>
  <si>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</si>
  <si>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</si>
  <si>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</si>
  <si>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</si>
  <si>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</si>
  <si>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</si>
  <si>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</si>
  <si>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</si>
  <si>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</si>
  <si>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</si>
  <si>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</si>
  <si>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</si>
  <si>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</si>
  <si>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</si>
  <si>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</si>
  <si>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</si>
  <si>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</si>
  <si>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</si>
  <si>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</si>
  <si>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</si>
  <si>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</si>
  <si>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</si>
  <si>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</si>
  <si>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</si>
  <si>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</si>
  <si>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</si>
  <si>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</si>
  <si>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</si>
  <si>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</si>
  <si>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</si>
  <si>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</si>
  <si>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</si>
  <si>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</si>
  <si>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</si>
  <si>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</si>
  <si>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</si>
  <si>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</si>
  <si>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</si>
  <si>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</si>
  <si>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</si>
  <si>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</si>
  <si>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</si>
  <si>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</si>
  <si>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</si>
  <si>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</si>
  <si>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</si>
  <si>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</si>
  <si>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</si>
  <si>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</si>
  <si>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</si>
  <si>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</si>
  <si>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</si>
  <si>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</si>
  <si>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</si>
  <si>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</si>
  <si>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</si>
  <si>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</si>
  <si>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</si>
  <si>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</si>
  <si>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</si>
  <si>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</si>
  <si>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</si>
  <si>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</si>
  <si>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</si>
  <si>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</si>
  <si>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</si>
  <si>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</si>
  <si>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</si>
  <si>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</si>
  <si>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</si>
  <si>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</si>
  <si>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</si>
  <si>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</si>
  <si>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</si>
  <si>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</si>
  <si>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</si>
  <si>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</si>
  <si>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</si>
  <si>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</si>
  <si>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</si>
  <si>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</si>
  <si>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</si>
  <si>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</si>
  <si>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</si>
  <si>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</si>
  <si>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</si>
  <si>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</si>
  <si>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</si>
  <si>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</si>
  <si>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</si>
  <si>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</si>
  <si>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</si>
  <si>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</si>
  <si>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</si>
  <si>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</si>
  <si>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</si>
  <si>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</si>
  <si>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</si>
  <si>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</si>
  <si>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</si>
  <si>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</si>
  <si>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</si>
  <si>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</si>
  <si>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</si>
  <si>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</si>
  <si>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</si>
  <si>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</si>
  <si>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</si>
  <si>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</si>
  <si>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</si>
  <si>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</si>
  <si>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</si>
  <si>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</si>
  <si>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</si>
  <si>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</si>
  <si>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</si>
  <si>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</si>
  <si>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</si>
  <si>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</si>
  <si>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</si>
  <si>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</si>
  <si>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</si>
  <si>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</si>
  <si>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</si>
  <si>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</si>
  <si>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</si>
  <si>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</si>
  <si>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</si>
  <si>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</si>
  <si>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</si>
  <si>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</si>
  <si>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</si>
  <si>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</si>
  <si>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</si>
  <si>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</si>
  <si>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</si>
  <si>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</si>
  <si>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</si>
  <si>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</si>
  <si>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</si>
  <si>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</si>
  <si>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</si>
  <si>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</si>
  <si>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</si>
  <si>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</si>
  <si>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</si>
  <si>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</si>
  <si>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</si>
  <si>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</si>
  <si>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</si>
  <si>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</si>
  <si>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</si>
  <si>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</si>
  <si>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</si>
  <si>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</si>
  <si>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</si>
  <si>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</si>
  <si>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</si>
  <si>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</si>
  <si>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</si>
  <si>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</si>
  <si>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</si>
  <si>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</si>
  <si>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</si>
  <si>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</si>
  <si>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</si>
  <si>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</si>
  <si>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</si>
  <si>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</si>
  <si>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</si>
  <si>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</si>
  <si>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</si>
  <si>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</si>
  <si>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</si>
  <si>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</si>
  <si>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</si>
  <si>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</si>
  <si>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</si>
  <si>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</si>
  <si>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</si>
  <si>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</si>
  <si>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</si>
  <si>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</si>
  <si>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</si>
  <si>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</si>
  <si>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</si>
  <si>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</si>
  <si>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</si>
  <si>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</si>
  <si>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</si>
  <si>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</si>
  <si>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</si>
  <si>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</si>
  <si>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</si>
  <si>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</si>
  <si>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</si>
  <si>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</si>
  <si>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</si>
  <si>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</si>
  <si>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</si>
  <si>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</si>
  <si>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</si>
  <si>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</si>
  <si>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</si>
  <si>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</si>
  <si>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</si>
  <si>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</si>
  <si>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</si>
  <si>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</si>
  <si>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</si>
  <si>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</si>
  <si>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</si>
  <si>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</si>
  <si>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</si>
  <si>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</si>
  <si>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</si>
  <si>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</si>
  <si>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</si>
  <si>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</si>
  <si>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</si>
  <si>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</si>
  <si>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</si>
  <si>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</si>
  <si>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</si>
  <si>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</si>
  <si>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</si>
  <si>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</si>
  <si>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</si>
  <si>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</si>
  <si>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</si>
  <si>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</si>
  <si>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</si>
  <si>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</si>
  <si>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</si>
  <si>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</si>
  <si>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</si>
  <si>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</si>
  <si>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</si>
  <si>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</si>
  <si>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</si>
  <si>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</si>
  <si>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</si>
  <si>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</si>
  <si>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</si>
  <si>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</si>
  <si>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</si>
  <si>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</si>
  <si>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</si>
  <si>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</si>
  <si>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</si>
  <si>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</si>
  <si>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</si>
  <si>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</si>
  <si>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</si>
  <si>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</si>
  <si>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</si>
  <si>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</si>
  <si>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</si>
  <si>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</si>
  <si>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</si>
  <si>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</si>
  <si>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</si>
  <si>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</si>
  <si>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</si>
  <si>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</si>
  <si>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</si>
  <si>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</si>
  <si>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</si>
  <si>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</si>
  <si>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</si>
  <si>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</si>
  <si>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</si>
  <si>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</si>
  <si>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</si>
  <si>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</si>
  <si>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</si>
  <si>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</si>
  <si>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</si>
  <si>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</si>
  <si>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</si>
  <si>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</si>
  <si>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</si>
  <si>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</si>
  <si>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</si>
  <si>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</si>
  <si>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</si>
  <si>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</si>
  <si>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</si>
  <si>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</si>
  <si>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</si>
  <si>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</si>
  <si>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</si>
  <si>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</si>
  <si>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</si>
  <si>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</si>
  <si>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</si>
  <si>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</si>
  <si>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</si>
  <si>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</si>
  <si>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</si>
  <si>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</si>
  <si>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</si>
  <si>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</si>
  <si>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</si>
  <si>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</si>
  <si>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</si>
  <si>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</si>
  <si>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</si>
  <si>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</si>
  <si>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</si>
  <si>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</si>
  <si>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</si>
  <si>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</si>
  <si>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</si>
  <si>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</si>
  <si>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</si>
  <si>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</si>
  <si>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</si>
  <si>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</si>
  <si>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</si>
  <si>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</si>
  <si>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</si>
  <si>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</si>
  <si>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</si>
  <si>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</si>
  <si>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</si>
  <si>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</si>
  <si>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</si>
  <si>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</si>
  <si>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</si>
  <si>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</si>
  <si>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</si>
  <si>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</si>
  <si>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</si>
  <si>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</si>
  <si>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</si>
  <si>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</si>
  <si>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</si>
  <si>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</si>
  <si>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</si>
  <si>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</si>
  <si>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</si>
  <si>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</si>
  <si>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</si>
  <si>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</si>
  <si>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</si>
  <si>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</si>
  <si>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</si>
  <si>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</si>
  <si>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</si>
  <si>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</si>
  <si>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</si>
  <si>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</si>
  <si>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</si>
  <si>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</si>
  <si>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</si>
  <si>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</si>
  <si>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</si>
  <si>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</si>
  <si>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</si>
  <si>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</si>
  <si>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</si>
  <si>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</si>
  <si>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</si>
  <si>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</si>
  <si>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</si>
  <si>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</si>
  <si>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</si>
  <si>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</si>
  <si>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</si>
  <si>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</si>
  <si>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</si>
  <si>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</si>
  <si>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</si>
  <si>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</si>
  <si>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</si>
  <si>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</si>
  <si>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</si>
  <si>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</si>
  <si>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</si>
  <si>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</si>
  <si>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</si>
  <si>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</si>
  <si>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</si>
  <si>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</si>
  <si>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</si>
  <si>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</si>
  <si>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</si>
  <si>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</si>
  <si>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</si>
  <si>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</si>
  <si>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</si>
  <si>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</si>
  <si>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</si>
  <si>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</si>
  <si>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</si>
  <si>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</si>
  <si>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</si>
  <si>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</si>
  <si>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</si>
  <si>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</si>
  <si>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</si>
  <si>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</si>
  <si>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</si>
  <si>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</si>
  <si>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</si>
  <si>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</si>
  <si>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</si>
  <si>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</si>
  <si>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</si>
  <si>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</si>
  <si>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</si>
  <si>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</si>
  <si>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</si>
  <si>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</si>
  <si>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</si>
  <si>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</si>
  <si>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</si>
  <si>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</si>
  <si>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</si>
  <si>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</si>
  <si>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</si>
  <si>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</si>
  <si>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</si>
  <si>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</si>
  <si>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</si>
  <si>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</si>
  <si>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</si>
  <si>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</si>
  <si>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</si>
  <si>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</si>
  <si>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</si>
  <si>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</si>
  <si>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</si>
  <si>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</si>
  <si>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</si>
  <si>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</si>
  <si>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</si>
  <si>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</si>
  <si>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</si>
  <si>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</si>
  <si>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</si>
  <si>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</si>
  <si>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</si>
  <si>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</si>
  <si>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</si>
  <si>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</si>
  <si>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</si>
  <si>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</si>
  <si>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</si>
  <si>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</si>
  <si>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</si>
  <si>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</si>
  <si>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</si>
  <si>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</si>
  <si>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</si>
  <si>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</si>
  <si>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</si>
  <si>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</si>
  <si>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</si>
  <si>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</si>
  <si>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</si>
  <si>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</si>
  <si>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</si>
  <si>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</si>
  <si>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</si>
  <si>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</si>
  <si>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</si>
  <si>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</si>
  <si>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</si>
  <si>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</si>
  <si>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</si>
  <si>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</si>
  <si>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</si>
  <si>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</si>
  <si>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</si>
  <si>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</si>
  <si>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</si>
  <si>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</si>
  <si>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</si>
  <si>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</si>
  <si>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</si>
  <si>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</si>
  <si>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</si>
  <si>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</si>
  <si>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</si>
  <si>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</si>
  <si>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</si>
  <si>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</si>
  <si>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</si>
  <si>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</si>
  <si>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</si>
  <si>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</si>
  <si>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</si>
  <si>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</si>
  <si>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</si>
  <si>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</si>
  <si>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</si>
  <si>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</si>
  <si>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</si>
  <si>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</si>
  <si>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</si>
  <si>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</si>
  <si>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</si>
  <si>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</si>
  <si>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</si>
  <si>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</si>
  <si>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</si>
  <si>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</si>
  <si>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</si>
  <si>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</si>
  <si>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</si>
  <si>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</si>
  <si>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</si>
  <si>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</si>
  <si>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</si>
  <si>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</si>
  <si>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</si>
  <si>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</si>
  <si>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</si>
  <si>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</si>
  <si>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</si>
  <si>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</si>
  <si>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</si>
  <si>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</si>
  <si>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</si>
  <si>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</si>
  <si>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</si>
  <si>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</si>
  <si>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</si>
  <si>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</si>
  <si>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</si>
  <si>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</si>
  <si>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</si>
  <si>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</si>
  <si>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</si>
  <si>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</si>
  <si>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</si>
  <si>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</si>
  <si>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</si>
  <si>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</si>
  <si>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</si>
  <si>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</si>
  <si>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</si>
  <si>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</si>
  <si>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</si>
  <si>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</si>
  <si>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</si>
  <si>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</si>
  <si>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</si>
  <si>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</si>
  <si>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</si>
  <si>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</si>
  <si>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</si>
  <si>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</si>
  <si>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</si>
  <si>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</si>
  <si>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</si>
  <si>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</si>
  <si>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</si>
  <si>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</si>
  <si>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</si>
  <si>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</si>
  <si>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</si>
  <si>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</si>
  <si>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</si>
  <si>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</si>
  <si>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</si>
  <si>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</si>
  <si>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</si>
  <si>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</si>
  <si>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</si>
  <si>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</si>
  <si>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</si>
  <si>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</si>
  <si>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</si>
  <si>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</si>
  <si>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</si>
  <si>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</si>
  <si>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</si>
  <si>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</si>
  <si>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</si>
  <si>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</si>
  <si>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</si>
  <si>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</si>
  <si>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</si>
  <si>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</si>
  <si>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</si>
  <si>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</si>
  <si>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</si>
  <si>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</si>
  <si>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</si>
  <si>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</si>
  <si>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</si>
  <si>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</si>
  <si>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</si>
  <si>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</si>
  <si>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</si>
  <si>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</si>
  <si>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</si>
  <si>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</si>
  <si>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</si>
  <si>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</si>
  <si>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</si>
  <si>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</si>
  <si>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</si>
  <si>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</si>
  <si>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</si>
  <si>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</si>
  <si>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</si>
  <si>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</si>
  <si>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</si>
  <si>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</si>
  <si>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</si>
  <si>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</si>
  <si>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</si>
  <si>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</si>
  <si>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</si>
  <si>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</si>
  <si>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</si>
  <si>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</si>
  <si>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</si>
  <si>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</si>
  <si>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</si>
  <si>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</si>
  <si>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</si>
  <si>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</si>
  <si>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</si>
  <si>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</si>
  <si>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</si>
  <si>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</si>
  <si>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</si>
  <si>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</si>
  <si>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</si>
  <si>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</si>
  <si>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</si>
  <si>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</si>
  <si>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</si>
  <si>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</si>
  <si>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</si>
  <si>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</si>
  <si>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</si>
  <si>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</si>
  <si>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</si>
  <si>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</si>
  <si>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</si>
  <si>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</si>
  <si>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</si>
  <si>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</si>
  <si>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</si>
  <si>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</si>
  <si>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</si>
  <si>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</si>
  <si>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</si>
  <si>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</si>
  <si>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</si>
  <si>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</si>
  <si>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</si>
  <si>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</si>
  <si>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</si>
  <si>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</si>
  <si>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</si>
  <si>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</si>
  <si>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</si>
  <si>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</si>
  <si>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</si>
  <si>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</si>
  <si>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</si>
  <si>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</si>
  <si>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</si>
  <si>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</si>
  <si>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</si>
  <si>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</si>
  <si>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</si>
  <si>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</si>
  <si>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to net cash provided by operations:</t>
  </si>
  <si>
    <t>Adjustments to reconcile Net Income</t>
  </si>
  <si>
    <t>OPERATING ACTIVITIES</t>
  </si>
  <si>
    <t>ViewSonic</t>
  </si>
  <si>
    <t>intive GmbH</t>
  </si>
  <si>
    <t>Cycode</t>
  </si>
  <si>
    <t>Comptroller of Public Accounts</t>
  </si>
  <si>
    <t>% Change</t>
  </si>
  <si>
    <t>$ Change</t>
  </si>
  <si>
    <t>Taxback International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</si>
  <si>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</si>
  <si>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</si>
  <si>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</si>
  <si>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</si>
  <si>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</si>
  <si>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</si>
  <si>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</si>
  <si>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</si>
  <si>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</si>
  <si>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</si>
  <si>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</si>
  <si>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</si>
  <si>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</si>
  <si>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</si>
  <si>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</si>
  <si>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</si>
  <si>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</si>
  <si>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</si>
  <si>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</si>
  <si>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</si>
  <si>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</si>
  <si>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</si>
  <si>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</si>
  <si>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</si>
  <si>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</si>
  <si>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</si>
  <si>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</si>
  <si>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</si>
  <si>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</si>
  <si>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</si>
  <si>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</si>
  <si>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</si>
  <si>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</si>
  <si>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</si>
  <si>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</si>
  <si>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</si>
  <si>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</si>
  <si>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</si>
  <si>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</si>
  <si>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</si>
  <si>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</si>
  <si>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</si>
  <si>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</si>
  <si>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</si>
  <si>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</si>
  <si>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</si>
  <si>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</si>
  <si>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</si>
  <si>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</si>
  <si>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</si>
  <si>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</si>
  <si>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</si>
  <si>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</si>
  <si>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</si>
  <si>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</si>
  <si>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</si>
  <si>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</si>
  <si>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</si>
  <si>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</si>
  <si>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Twilio Inc.</t>
  </si>
  <si>
    <t>Combined YTD</t>
  </si>
  <si>
    <t>FY22 Bud</t>
  </si>
  <si>
    <t>FY 22 YTD Bud</t>
  </si>
  <si>
    <t xml:space="preserve">General &amp; Administrative/Professional </t>
  </si>
  <si>
    <t>YTD US P&amp;L 22 vs 21</t>
  </si>
  <si>
    <t>AppSec Day</t>
  </si>
  <si>
    <t>Miscellaneous</t>
  </si>
  <si>
    <t>Conference Income - Other</t>
  </si>
  <si>
    <t>Your Membership</t>
  </si>
  <si>
    <t>HCL Software Products Limited</t>
  </si>
  <si>
    <t>APAC Prepaid</t>
  </si>
  <si>
    <t>Scitum S.A. de C.V.</t>
  </si>
  <si>
    <t>***These reports do NOT consider the VZW which has had no activity in 2022</t>
  </si>
  <si>
    <t>Webinars</t>
  </si>
  <si>
    <t>Staff Travel</t>
  </si>
  <si>
    <t>Benefits</t>
  </si>
  <si>
    <t>Payroll Taxes/Fees</t>
  </si>
  <si>
    <t>GuardSquare</t>
  </si>
  <si>
    <t>Portland Training Day</t>
  </si>
  <si>
    <t>Deferred Revenue:AppSec US</t>
  </si>
  <si>
    <t>Donations-grants</t>
  </si>
  <si>
    <t>Google Summer of CODE</t>
  </si>
  <si>
    <t>Trade Mark Income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</si>
  <si>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</si>
  <si>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</si>
  <si>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</si>
  <si>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</si>
  <si>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</si>
  <si>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</si>
  <si>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</si>
  <si>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</si>
  <si>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</si>
  <si>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</si>
  <si>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</si>
  <si>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</si>
  <si>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</si>
  <si>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Project Sponsorship income</t>
  </si>
  <si>
    <t>US</t>
  </si>
  <si>
    <t>YTD US</t>
  </si>
  <si>
    <t>Project Supporter - Other</t>
  </si>
  <si>
    <t>EU Expenses</t>
  </si>
  <si>
    <t>8.22 APSEC P&amp;L</t>
  </si>
  <si>
    <t>Accrued Liabilities</t>
  </si>
  <si>
    <t>Deferred Revenue:20th Anniversary 2021</t>
  </si>
  <si>
    <t>Deferred Revenue:BeNeLux Day</t>
  </si>
  <si>
    <t>Deferred Revenue:AppSec EU</t>
  </si>
  <si>
    <t>Prepaid Expense:Dublin</t>
  </si>
  <si>
    <t>Prepaid Expense:SnowFROC</t>
  </si>
  <si>
    <t>Prepaid Expense:AppSec US</t>
  </si>
  <si>
    <t>Commerce Bank Credit Card</t>
  </si>
  <si>
    <t>Convention Centre Dublin</t>
  </si>
  <si>
    <t>Gesmer Updegrove</t>
  </si>
  <si>
    <t>Grant Funds</t>
  </si>
  <si>
    <t>FINANCING ACTIVITIES</t>
  </si>
  <si>
    <t>Net cash provided by Financing Activities</t>
  </si>
  <si>
    <t>20th Anniversary event</t>
  </si>
  <si>
    <t>Donation CC fees</t>
  </si>
  <si>
    <t>Donated Services</t>
  </si>
  <si>
    <t>BlackHat &amp; BSides</t>
  </si>
  <si>
    <t>Women in AppSec Expenses</t>
  </si>
  <si>
    <t>Project Grant Expenses</t>
  </si>
  <si>
    <t>Project Expenses - Other</t>
  </si>
  <si>
    <t>Total Project Expenses</t>
  </si>
  <si>
    <t>Conference Income - Registrations</t>
  </si>
  <si>
    <t>Oct 2022</t>
  </si>
  <si>
    <t>Jan - Oct 22</t>
  </si>
  <si>
    <t xml:space="preserve">Balance sheet Year over Year Oct 22  US Only </t>
  </si>
  <si>
    <t>October 22 Board Summary</t>
  </si>
  <si>
    <t>AppSec USA</t>
  </si>
  <si>
    <t>US P&amp;L YOY October 22</t>
  </si>
  <si>
    <t>Jan - Oct 21</t>
  </si>
  <si>
    <t>Project income</t>
  </si>
  <si>
    <t>ASVS</t>
  </si>
  <si>
    <t>Total Project income</t>
  </si>
  <si>
    <t>Regional events</t>
  </si>
  <si>
    <t>SnowFROC</t>
  </si>
  <si>
    <t>Oct 22</t>
  </si>
  <si>
    <t>Oct 21</t>
  </si>
  <si>
    <t>Deferred Revenue:SnowFROC</t>
  </si>
  <si>
    <t>Prepaid Expense:SAMM Summit</t>
  </si>
  <si>
    <t>1st Sales</t>
  </si>
  <si>
    <t>Arlen Kerndt</t>
  </si>
  <si>
    <t>Ben Harvey - Expenses</t>
  </si>
  <si>
    <t>Chirag Singla - Expenses</t>
  </si>
  <si>
    <t>Data Protection Institute</t>
  </si>
  <si>
    <t>Gesmer Updegrove - Expenses</t>
  </si>
  <si>
    <t>Harold Blankenship</t>
  </si>
  <si>
    <t>Matteo Meucci - Expenses</t>
  </si>
  <si>
    <t>Norris Conference Centers</t>
  </si>
  <si>
    <t>Schwabe Willamson &amp; Wyatt - Expenses</t>
  </si>
  <si>
    <t>Shelby Graham- Expenses</t>
  </si>
  <si>
    <t>Arnica, Inc</t>
  </si>
  <si>
    <t>Bright Security, Inc.</t>
  </si>
  <si>
    <t>Harness</t>
  </si>
  <si>
    <t>Saltworks Security</t>
  </si>
  <si>
    <t>as of  11.21.22</t>
  </si>
  <si>
    <t>YTD 10.22</t>
  </si>
  <si>
    <t xml:space="preserve">FY22 Bud APPROVED </t>
  </si>
  <si>
    <t>OWASP FY22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</si>
</sst>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#,##0.0#%;\-#,##0.0#%"/>
  </numFmts>
  <fonts count="3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10" fillId="0" borderId="0"/>
  </cellStyleXfs>
  <cellXfs count="191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0" fontId="21" fillId="2" borderId="0" xfId="1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8" fontId="3" fillId="0" borderId="5" xfId="0" applyNumberFormat="1" applyFont="1" applyBorder="1"/>
    <xf numFmtId="168" fontId="4" fillId="0" borderId="4" xfId="0" applyNumberFormat="1" applyFont="1" applyBorder="1"/>
    <xf numFmtId="168" fontId="4" fillId="0" borderId="0" xfId="0" applyNumberFormat="1" applyFont="1"/>
    <xf numFmtId="168" fontId="4" fillId="0" borderId="3" xfId="0" applyNumberFormat="1" applyFont="1" applyBorder="1"/>
    <xf numFmtId="168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8" fillId="7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42" fontId="18" fillId="0" borderId="0" xfId="0" applyNumberFormat="1" applyFont="1" applyFill="1"/>
    <xf numFmtId="42" fontId="0" fillId="0" borderId="0" xfId="0" applyNumberFormat="1" applyFill="1"/>
    <xf numFmtId="0" fontId="0" fillId="0" borderId="0" xfId="0"/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42" fontId="18" fillId="0" borderId="0" xfId="0" applyNumberFormat="1" applyFont="1" applyBorder="1"/>
    <xf numFmtId="0" fontId="0" fillId="8" borderId="0" xfId="0" applyFill="1"/>
    <xf numFmtId="14" fontId="15" fillId="8" borderId="0" xfId="0" applyNumberFormat="1" applyFont="1" applyFill="1" applyAlignment="1">
      <alignment horizontal="left"/>
    </xf>
    <xf numFmtId="0" fontId="14" fillId="8" borderId="0" xfId="3" applyFill="1"/>
    <xf numFmtId="0" fontId="14" fillId="8" borderId="0" xfId="3" quotePrefix="1" applyFill="1"/>
    <xf numFmtId="0" fontId="22" fillId="8" borderId="0" xfId="0" applyFont="1" applyFill="1"/>
    <xf numFmtId="43" fontId="3" fillId="0" borderId="1" xfId="5" applyFont="1" applyBorder="1" applyAlignment="1">
      <alignment horizontal="center"/>
    </xf>
    <xf numFmtId="43" fontId="4" fillId="0" borderId="0" xfId="5" applyFont="1"/>
    <xf numFmtId="43" fontId="4" fillId="0" borderId="0" xfId="5" applyFont="1" applyBorder="1"/>
    <xf numFmtId="43" fontId="3" fillId="0" borderId="5" xfId="5" applyFont="1" applyBorder="1"/>
    <xf numFmtId="43" fontId="0" fillId="0" borderId="0" xfId="5" applyFont="1"/>
    <xf numFmtId="43" fontId="4" fillId="0" borderId="2" xfId="5" applyFont="1" applyBorder="1"/>
    <xf numFmtId="43" fontId="4" fillId="0" borderId="3" xfId="5" applyFont="1" applyBorder="1"/>
    <xf numFmtId="43" fontId="3" fillId="0" borderId="9" xfId="5" applyFont="1" applyBorder="1" applyAlignment="1">
      <alignment horizontal="center"/>
    </xf>
    <xf numFmtId="43" fontId="0" fillId="0" borderId="0" xfId="5" applyFont="1" applyBorder="1" applyAlignment="1">
      <alignment horizontal="centerContinuous"/>
    </xf>
    <xf numFmtId="43" fontId="4" fillId="0" borderId="4" xfId="5" applyFont="1" applyBorder="1"/>
    <xf numFmtId="43" fontId="0" fillId="0" borderId="0" xfId="0" applyNumberFormat="1"/>
    <xf numFmtId="3" fontId="0" fillId="0" borderId="0" xfId="0" applyNumberFormat="1"/>
    <xf numFmtId="0" fontId="0" fillId="0" borderId="0" xfId="0"/>
    <xf numFmtId="49" fontId="3" fillId="0" borderId="0" xfId="0" applyNumberFormat="1" applyFont="1"/>
    <xf numFmtId="15" fontId="3" fillId="0" borderId="9" xfId="5" applyNumberFormat="1" applyFont="1" applyBorder="1" applyAlignment="1">
      <alignment horizontal="center"/>
    </xf>
    <xf numFmtId="43" fontId="5" fillId="0" borderId="0" xfId="5" applyFont="1" applyAlignment="1">
      <alignment horizontal="right"/>
    </xf>
    <xf numFmtId="3" fontId="6" fillId="0" borderId="0" xfId="0" applyNumberFormat="1" applyFont="1"/>
    <xf numFmtId="165" fontId="7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0" fontId="5" fillId="9" borderId="0" xfId="0" applyFont="1" applyFill="1"/>
  </cellXfs>
  <cellStyles count="8">
    <cellStyle name="Bad" xfId="2" builtinId="27"/>
    <cellStyle name="Comma" xfId="5" builtinId="3"/>
    <cellStyle name="Good" xfId="1" builtinId="26"/>
    <cellStyle name="Hyperlink" xfId="3" builtinId="8"/>
    <cellStyle name="Neutral" xfId="4" builtinId="28"/>
    <cellStyle name="Normal" xfId="0" builtinId="0"/>
    <cellStyle name="Normal 2" xfId="6" xr:uid="{7B385E70-0FBF-44A7-AB4E-13D8EEAA1CE3}"/>
    <cellStyle name="Normal 2 2" xfId="7" xr:uid="{1F75A532-3D77-4565-9975-1A468D29EA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image" Target="../media/image29.emf"/><Relationship Id="rId7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6.emf"/><Relationship Id="rId5" Type="http://schemas.openxmlformats.org/officeDocument/2006/relationships/image" Target="../media/image27.emf"/><Relationship Id="rId10" Type="http://schemas.openxmlformats.org/officeDocument/2006/relationships/image" Target="../media/image35.emf"/><Relationship Id="rId4" Type="http://schemas.openxmlformats.org/officeDocument/2006/relationships/image" Target="../media/image28.emf"/><Relationship Id="rId9" Type="http://schemas.openxmlformats.org/officeDocument/2006/relationships/image" Target="../media/image34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40.emf"/><Relationship Id="rId7" Type="http://schemas.openxmlformats.org/officeDocument/2006/relationships/image" Target="../media/image37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8.emf"/><Relationship Id="rId18" Type="http://schemas.openxmlformats.org/officeDocument/2006/relationships/image" Target="../media/image44.emf"/><Relationship Id="rId3" Type="http://schemas.openxmlformats.org/officeDocument/2006/relationships/image" Target="../media/image51.emf"/><Relationship Id="rId7" Type="http://schemas.openxmlformats.org/officeDocument/2006/relationships/image" Target="../media/image47.emf"/><Relationship Id="rId12" Type="http://schemas.openxmlformats.org/officeDocument/2006/relationships/image" Target="../media/image57.emf"/><Relationship Id="rId17" Type="http://schemas.openxmlformats.org/officeDocument/2006/relationships/image" Target="../media/image45.emf"/><Relationship Id="rId2" Type="http://schemas.openxmlformats.org/officeDocument/2006/relationships/image" Target="../media/image53.emf"/><Relationship Id="rId16" Type="http://schemas.openxmlformats.org/officeDocument/2006/relationships/image" Target="../media/image61.emf"/><Relationship Id="rId1" Type="http://schemas.openxmlformats.org/officeDocument/2006/relationships/image" Target="../media/image52.emf"/><Relationship Id="rId6" Type="http://schemas.openxmlformats.org/officeDocument/2006/relationships/image" Target="../media/image48.emf"/><Relationship Id="rId11" Type="http://schemas.openxmlformats.org/officeDocument/2006/relationships/image" Target="../media/image56.emf"/><Relationship Id="rId5" Type="http://schemas.openxmlformats.org/officeDocument/2006/relationships/image" Target="../media/image49.emf"/><Relationship Id="rId15" Type="http://schemas.openxmlformats.org/officeDocument/2006/relationships/image" Target="../media/image60.emf"/><Relationship Id="rId10" Type="http://schemas.openxmlformats.org/officeDocument/2006/relationships/image" Target="../media/image55.emf"/><Relationship Id="rId4" Type="http://schemas.openxmlformats.org/officeDocument/2006/relationships/image" Target="../media/image50.emf"/><Relationship Id="rId9" Type="http://schemas.openxmlformats.org/officeDocument/2006/relationships/image" Target="../media/image54.emf"/><Relationship Id="rId14" Type="http://schemas.openxmlformats.org/officeDocument/2006/relationships/image" Target="../media/image59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3" Type="http://schemas.openxmlformats.org/officeDocument/2006/relationships/image" Target="../media/image65.emf"/><Relationship Id="rId7" Type="http://schemas.openxmlformats.org/officeDocument/2006/relationships/image" Target="../media/image68.emf"/><Relationship Id="rId2" Type="http://schemas.openxmlformats.org/officeDocument/2006/relationships/image" Target="../media/image67.emf"/><Relationship Id="rId1" Type="http://schemas.openxmlformats.org/officeDocument/2006/relationships/image" Target="../media/image66.emf"/><Relationship Id="rId6" Type="http://schemas.openxmlformats.org/officeDocument/2006/relationships/image" Target="../media/image62.emf"/><Relationship Id="rId5" Type="http://schemas.openxmlformats.org/officeDocument/2006/relationships/image" Target="../media/image63.emf"/><Relationship Id="rId4" Type="http://schemas.openxmlformats.org/officeDocument/2006/relationships/image" Target="../media/image64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.emf"/><Relationship Id="rId3" Type="http://schemas.openxmlformats.org/officeDocument/2006/relationships/image" Target="../media/image75.emf"/><Relationship Id="rId7" Type="http://schemas.openxmlformats.org/officeDocument/2006/relationships/image" Target="../media/image78.emf"/><Relationship Id="rId12" Type="http://schemas.openxmlformats.org/officeDocument/2006/relationships/image" Target="../media/image70.emf"/><Relationship Id="rId2" Type="http://schemas.openxmlformats.org/officeDocument/2006/relationships/image" Target="../media/image77.emf"/><Relationship Id="rId1" Type="http://schemas.openxmlformats.org/officeDocument/2006/relationships/image" Target="../media/image76.emf"/><Relationship Id="rId6" Type="http://schemas.openxmlformats.org/officeDocument/2006/relationships/image" Target="../media/image72.emf"/><Relationship Id="rId11" Type="http://schemas.openxmlformats.org/officeDocument/2006/relationships/image" Target="../media/image71.emf"/><Relationship Id="rId5" Type="http://schemas.openxmlformats.org/officeDocument/2006/relationships/image" Target="../media/image73.emf"/><Relationship Id="rId10" Type="http://schemas.openxmlformats.org/officeDocument/2006/relationships/image" Target="../media/image81.emf"/><Relationship Id="rId4" Type="http://schemas.openxmlformats.org/officeDocument/2006/relationships/image" Target="../media/image74.emf"/><Relationship Id="rId9" Type="http://schemas.openxmlformats.org/officeDocument/2006/relationships/image" Target="../media/image80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3" Type="http://schemas.openxmlformats.org/officeDocument/2006/relationships/image" Target="../media/image85.emf"/><Relationship Id="rId7" Type="http://schemas.openxmlformats.org/officeDocument/2006/relationships/image" Target="../media/image88.emf"/><Relationship Id="rId2" Type="http://schemas.openxmlformats.org/officeDocument/2006/relationships/image" Target="../media/image87.emf"/><Relationship Id="rId1" Type="http://schemas.openxmlformats.org/officeDocument/2006/relationships/image" Target="../media/image86.emf"/><Relationship Id="rId6" Type="http://schemas.openxmlformats.org/officeDocument/2006/relationships/image" Target="../media/image82.emf"/><Relationship Id="rId5" Type="http://schemas.openxmlformats.org/officeDocument/2006/relationships/image" Target="../media/image83.emf"/><Relationship Id="rId10" Type="http://schemas.openxmlformats.org/officeDocument/2006/relationships/image" Target="../media/image91.emf"/><Relationship Id="rId4" Type="http://schemas.openxmlformats.org/officeDocument/2006/relationships/image" Target="../media/image84.emf"/><Relationship Id="rId9" Type="http://schemas.openxmlformats.org/officeDocument/2006/relationships/image" Target="../media/image9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19.emf"/><Relationship Id="rId7" Type="http://schemas.openxmlformats.org/officeDocument/2006/relationships/image" Target="../media/image15.emf"/><Relationship Id="rId12" Type="http://schemas.openxmlformats.org/officeDocument/2006/relationships/image" Target="../media/image25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6.emf"/><Relationship Id="rId11" Type="http://schemas.openxmlformats.org/officeDocument/2006/relationships/image" Target="../media/image24.emf"/><Relationship Id="rId5" Type="http://schemas.openxmlformats.org/officeDocument/2006/relationships/image" Target="../media/image17.emf"/><Relationship Id="rId10" Type="http://schemas.openxmlformats.org/officeDocument/2006/relationships/image" Target="../media/image23.emf"/><Relationship Id="rId4" Type="http://schemas.openxmlformats.org/officeDocument/2006/relationships/image" Target="../media/image18.emf"/><Relationship Id="rId9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304800</xdr:colOff>
      <xdr:row>6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123825</xdr:colOff>
          <xdr:row>1</xdr:row>
          <xdr:rowOff>38100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123825</xdr:colOff>
          <xdr:row>1</xdr:row>
          <xdr:rowOff>38100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123825</xdr:colOff>
          <xdr:row>1</xdr:row>
          <xdr:rowOff>38100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123825</xdr:colOff>
          <xdr:row>1</xdr:row>
          <xdr:rowOff>38100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123825</xdr:colOff>
          <xdr:row>1</xdr:row>
          <xdr:rowOff>38100</xdr:rowOff>
        </xdr:to>
        <xdr:sp macro="" textlink="">
          <xdr:nvSpPr>
            <xdr:cNvPr id="113665" name="FILTER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4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123825</xdr:colOff>
          <xdr:row>1</xdr:row>
          <xdr:rowOff>38100</xdr:rowOff>
        </xdr:to>
        <xdr:sp macro="" textlink="">
          <xdr:nvSpPr>
            <xdr:cNvPr id="113666" name="HEADER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id="{00000000-0008-0000-04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1C579AF9-8E22-4B2A-941E-42793CB36E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1F26974F-022D-40D5-87DF-B7F7596A54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38100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34"/>
  <sheetViews>
    <sheetView tabSelected="1" workbookViewId="0"/>
  </sheetViews>
  <sheetFormatPr defaultColWidth="9.140625" defaultRowHeight="15" x14ac:dyDescent="0.25"/>
  <cols>
    <col min="1" max="1" width="9.140625" style="166"/>
    <col min="2" max="2" width="13.28515625" style="166" customWidth="1"/>
    <col min="3" max="16384" width="9.140625" style="166"/>
  </cols>
  <sheetData>
    <row r="12" spans="2:6" ht="15.75" x14ac:dyDescent="0.25">
      <c r="B12" s="167">
        <v>44865</v>
      </c>
    </row>
    <row r="13" spans="2:6" ht="26.25" x14ac:dyDescent="0.4">
      <c r="B13" s="167"/>
      <c r="D13" s="98" t="s">
        <v>223</v>
      </c>
      <c r="E13" s="98"/>
      <c r="F13" s="98"/>
    </row>
    <row r="14" spans="2:6" x14ac:dyDescent="0.25">
      <c r="B14" s="168" t="s">
        <v>7864</v>
      </c>
    </row>
    <row r="15" spans="2:6" hidden="1" x14ac:dyDescent="0.25">
      <c r="B15" s="168" t="s">
        <v>7716</v>
      </c>
    </row>
    <row r="16" spans="2:6" x14ac:dyDescent="0.25">
      <c r="B16" s="169" t="s">
        <v>7867</v>
      </c>
    </row>
    <row r="17" spans="2:3" x14ac:dyDescent="0.25">
      <c r="B17" s="169" t="s">
        <v>7802</v>
      </c>
      <c r="C17" s="169"/>
    </row>
    <row r="18" spans="2:3" x14ac:dyDescent="0.25">
      <c r="B18" s="169" t="s">
        <v>7865</v>
      </c>
    </row>
    <row r="19" spans="2:3" x14ac:dyDescent="0.25">
      <c r="B19" s="169" t="s">
        <v>7895</v>
      </c>
    </row>
    <row r="20" spans="2:3" hidden="1" x14ac:dyDescent="0.25">
      <c r="B20" s="169" t="s">
        <v>7698</v>
      </c>
    </row>
    <row r="21" spans="2:3" hidden="1" x14ac:dyDescent="0.25">
      <c r="B21" s="169" t="s">
        <v>7699</v>
      </c>
    </row>
    <row r="22" spans="2:3" hidden="1" x14ac:dyDescent="0.25">
      <c r="B22" s="169" t="s">
        <v>7700</v>
      </c>
    </row>
    <row r="23" spans="2:3" hidden="1" x14ac:dyDescent="0.25">
      <c r="B23" s="169" t="s">
        <v>7701</v>
      </c>
    </row>
    <row r="24" spans="2:3" hidden="1" x14ac:dyDescent="0.25">
      <c r="B24" s="169" t="s">
        <v>7702</v>
      </c>
    </row>
    <row r="25" spans="2:3" hidden="1" x14ac:dyDescent="0.25">
      <c r="B25" s="169" t="s">
        <v>7703</v>
      </c>
    </row>
    <row r="26" spans="2:3" ht="15" hidden="1" customHeight="1" x14ac:dyDescent="0.25">
      <c r="B26" s="169" t="s">
        <v>7704</v>
      </c>
    </row>
    <row r="27" spans="2:3" hidden="1" x14ac:dyDescent="0.25">
      <c r="B27" s="169" t="s">
        <v>7705</v>
      </c>
    </row>
    <row r="28" spans="2:3" x14ac:dyDescent="0.25">
      <c r="B28" s="169" t="s">
        <v>7717</v>
      </c>
    </row>
    <row r="29" spans="2:3" x14ac:dyDescent="0.25">
      <c r="B29" s="169" t="s">
        <v>7718</v>
      </c>
    </row>
    <row r="30" spans="2:3" x14ac:dyDescent="0.25">
      <c r="B30" s="169" t="s">
        <v>7719</v>
      </c>
    </row>
    <row r="31" spans="2:3" hidden="1" x14ac:dyDescent="0.25">
      <c r="B31" s="169" t="s">
        <v>7839</v>
      </c>
    </row>
    <row r="32" spans="2:3" ht="15.75" x14ac:dyDescent="0.25">
      <c r="B32" s="170" t="s">
        <v>7706</v>
      </c>
    </row>
    <row r="34" spans="2:2" x14ac:dyDescent="0.25">
      <c r="B34" s="166" t="s">
        <v>7810</v>
      </c>
    </row>
  </sheetData>
  <hyperlinks>
    <hyperlink ref="B15" location="'Balance Sheet Summary'!A1" display="Balance Sheet Summary Oct 21" xr:uid="{FB934DAD-DD8B-47F4-B99B-D8D88B2306AC}"/>
    <hyperlink ref="B16" location="'Oct 22 vs Oct 21 P&amp;L'!A1" display="US P&amp;L YOY October 22" xr:uid="{7E3E77D8-D0F9-4915-9619-7F510AE47A75}"/>
    <hyperlink ref="B17" location="'YTD US Profit and Loss'!A1" display="YTD US P&amp;L 22 vs 21" xr:uid="{A818815C-C439-454C-A167-E0965DC164C1}"/>
    <hyperlink ref="B19" location="'FY22 approved Bud'!A1" display="FY22 Bud APPROVED 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  <hyperlink ref="B18" location="'Board Summary'!A1" display="July22 Board Summary" xr:uid="{EE80E622-5DA2-4EB8-8D92-1D0857E8E2E9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25">
      <c r="A2" s="4"/>
      <c r="B2" s="5"/>
      <c r="C2" s="5"/>
      <c r="D2" s="5"/>
      <c r="E2" s="5"/>
      <c r="F2" s="8" t="s">
        <v>103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117</v>
      </c>
      <c r="C4" s="5"/>
      <c r="D4" s="5"/>
      <c r="E4" s="5"/>
      <c r="F4" s="6"/>
    </row>
    <row r="5" spans="1:7" x14ac:dyDescent="0.25">
      <c r="A5" s="4"/>
      <c r="B5" s="5"/>
      <c r="C5" s="5" t="s">
        <v>118</v>
      </c>
      <c r="D5" s="5"/>
      <c r="E5" s="5"/>
      <c r="F5" s="12"/>
    </row>
    <row r="6" spans="1:7" x14ac:dyDescent="0.25">
      <c r="A6" s="4"/>
      <c r="B6" s="5"/>
      <c r="C6" s="5"/>
      <c r="D6" s="5" t="s">
        <v>7417</v>
      </c>
      <c r="E6" s="5"/>
      <c r="F6" s="6"/>
    </row>
    <row r="7" spans="1:7" x14ac:dyDescent="0.25">
      <c r="A7" s="4"/>
      <c r="B7" s="5"/>
      <c r="C7" s="5"/>
      <c r="D7" s="5"/>
      <c r="E7" s="14" t="s">
        <v>7418</v>
      </c>
      <c r="F7" s="59">
        <v>350000</v>
      </c>
    </row>
    <row r="8" spans="1:7" x14ac:dyDescent="0.25">
      <c r="A8" s="4"/>
      <c r="B8" s="5"/>
      <c r="C8" s="5"/>
      <c r="D8" s="5"/>
      <c r="E8" s="14" t="s">
        <v>7419</v>
      </c>
      <c r="F8" s="59">
        <v>50000</v>
      </c>
    </row>
    <row r="9" spans="1:7" x14ac:dyDescent="0.25">
      <c r="A9" s="4"/>
      <c r="B9" s="5"/>
      <c r="C9" s="16" t="s">
        <v>121</v>
      </c>
      <c r="D9" s="16"/>
      <c r="E9" s="16"/>
      <c r="F9" s="60"/>
    </row>
    <row r="10" spans="1:7" x14ac:dyDescent="0.2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25">
      <c r="A11" s="4"/>
      <c r="B11" s="5"/>
      <c r="C11" s="5"/>
      <c r="D11" s="5" t="s">
        <v>7420</v>
      </c>
      <c r="E11" s="5"/>
      <c r="F11" s="12"/>
    </row>
    <row r="12" spans="1:7" x14ac:dyDescent="0.2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25">
      <c r="A13" s="4"/>
      <c r="B13" s="5"/>
      <c r="C13" s="5"/>
      <c r="D13" s="5"/>
      <c r="E13" s="5" t="s">
        <v>125</v>
      </c>
      <c r="F13" s="61"/>
    </row>
    <row r="14" spans="1:7" x14ac:dyDescent="0.25">
      <c r="A14" s="4"/>
      <c r="B14" s="5"/>
      <c r="C14" s="5" t="s">
        <v>126</v>
      </c>
      <c r="D14" s="5"/>
      <c r="E14" s="5"/>
      <c r="F14" s="12"/>
    </row>
    <row r="15" spans="1:7" x14ac:dyDescent="0.2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25">
      <c r="A19" s="4"/>
      <c r="B19" s="5" t="s">
        <v>131</v>
      </c>
      <c r="C19" s="5"/>
      <c r="D19" s="5"/>
      <c r="E19" s="5"/>
      <c r="F19" s="12">
        <v>10000</v>
      </c>
    </row>
    <row r="20" spans="1:6" x14ac:dyDescent="0.25">
      <c r="A20" s="4"/>
      <c r="B20" s="5" t="s">
        <v>132</v>
      </c>
      <c r="C20" s="5"/>
      <c r="D20" s="5"/>
      <c r="E20" s="5"/>
      <c r="F20" s="12"/>
    </row>
    <row r="21" spans="1:6" x14ac:dyDescent="0.25">
      <c r="A21" s="4"/>
      <c r="B21" s="5" t="s">
        <v>133</v>
      </c>
      <c r="C21" s="5"/>
      <c r="D21" s="5"/>
      <c r="E21" s="5"/>
      <c r="F21" s="12">
        <v>6500</v>
      </c>
    </row>
    <row r="22" spans="1:6" x14ac:dyDescent="0.25">
      <c r="A22" s="4"/>
      <c r="B22" s="5" t="s">
        <v>134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135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136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138</v>
      </c>
      <c r="C31" s="5"/>
      <c r="D31" s="5"/>
      <c r="E31" s="5"/>
      <c r="F31" s="12">
        <v>60000</v>
      </c>
    </row>
    <row r="32" spans="1:6" x14ac:dyDescent="0.25">
      <c r="A32" s="4"/>
      <c r="B32" s="5" t="s">
        <v>7421</v>
      </c>
      <c r="C32" s="5"/>
      <c r="D32" s="5"/>
      <c r="E32" s="5"/>
      <c r="F32" s="12"/>
    </row>
    <row r="33" spans="1:6" x14ac:dyDescent="0.25">
      <c r="A33" s="4"/>
      <c r="B33" s="5" t="s">
        <v>139</v>
      </c>
      <c r="C33" s="5"/>
      <c r="D33" s="5"/>
      <c r="E33" s="17"/>
      <c r="F33" s="62">
        <v>0</v>
      </c>
    </row>
    <row r="34" spans="1:6" x14ac:dyDescent="0.2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140</v>
      </c>
      <c r="B36" s="5"/>
      <c r="C36" s="5"/>
      <c r="D36" s="5"/>
      <c r="E36" s="5"/>
      <c r="F36" s="6"/>
    </row>
    <row r="37" spans="1:6" x14ac:dyDescent="0.25">
      <c r="A37" s="4"/>
      <c r="B37" s="4" t="s">
        <v>7422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25">
      <c r="A39" s="4"/>
      <c r="C39" s="14" t="s">
        <v>7423</v>
      </c>
      <c r="D39" s="14"/>
      <c r="E39" s="14"/>
      <c r="F39" s="60">
        <v>75000</v>
      </c>
    </row>
    <row r="40" spans="1:6" x14ac:dyDescent="0.25">
      <c r="A40" s="4"/>
      <c r="B40" t="s">
        <v>141</v>
      </c>
      <c r="F40" s="26"/>
    </row>
    <row r="41" spans="1:6" x14ac:dyDescent="0.2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25">
      <c r="A42" s="4"/>
      <c r="B42" s="5"/>
      <c r="C42" s="5"/>
      <c r="D42" s="5" t="s">
        <v>143</v>
      </c>
      <c r="E42" s="5"/>
      <c r="F42" s="26">
        <v>5000</v>
      </c>
    </row>
    <row r="43" spans="1:6" x14ac:dyDescent="0.2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145</v>
      </c>
      <c r="D44" s="5"/>
      <c r="E44" s="5"/>
      <c r="F44" s="26"/>
    </row>
    <row r="45" spans="1:6" x14ac:dyDescent="0.25">
      <c r="A45" s="4"/>
      <c r="B45" s="5"/>
      <c r="C45" s="5" t="s">
        <v>7424</v>
      </c>
      <c r="D45" s="5"/>
      <c r="E45" s="5"/>
      <c r="F45" s="26"/>
    </row>
    <row r="46" spans="1:6" x14ac:dyDescent="0.25">
      <c r="A46" s="4"/>
      <c r="B46" s="5"/>
      <c r="C46" s="5"/>
      <c r="D46" s="5" t="s">
        <v>147</v>
      </c>
      <c r="E46" s="5"/>
    </row>
    <row r="47" spans="1:6" x14ac:dyDescent="0.25">
      <c r="A47" s="4"/>
      <c r="B47" s="5"/>
      <c r="C47" s="5"/>
      <c r="D47" s="5" t="s">
        <v>148</v>
      </c>
      <c r="E47" s="5"/>
    </row>
    <row r="48" spans="1:6" x14ac:dyDescent="0.25">
      <c r="A48" s="4"/>
      <c r="B48" s="5"/>
      <c r="C48" s="5"/>
      <c r="D48" s="5" t="s">
        <v>149</v>
      </c>
      <c r="E48" s="5"/>
    </row>
    <row r="49" spans="1:6" x14ac:dyDescent="0.25">
      <c r="A49" s="4"/>
      <c r="B49" s="5"/>
      <c r="C49" s="5" t="s">
        <v>7420</v>
      </c>
      <c r="D49" s="5"/>
      <c r="E49" s="5"/>
      <c r="F49" s="61">
        <v>0</v>
      </c>
    </row>
    <row r="50" spans="1:6" x14ac:dyDescent="0.2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25">
      <c r="A51" s="4"/>
      <c r="B51" s="5"/>
      <c r="C51" s="5"/>
      <c r="D51" s="5" t="s">
        <v>128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150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25">
      <c r="A56" s="4"/>
      <c r="B56" s="5"/>
      <c r="C56" s="5" t="s">
        <v>152</v>
      </c>
      <c r="D56" s="5"/>
      <c r="E56" s="5"/>
      <c r="F56" s="63">
        <v>20000</v>
      </c>
    </row>
    <row r="57" spans="1:6" x14ac:dyDescent="0.25">
      <c r="A57" s="4"/>
      <c r="B57" s="4" t="s">
        <v>153</v>
      </c>
      <c r="C57" s="5"/>
      <c r="D57" s="5"/>
      <c r="E57" s="5"/>
      <c r="F57" s="26"/>
    </row>
    <row r="58" spans="1:6" x14ac:dyDescent="0.25">
      <c r="A58" s="4"/>
      <c r="B58" s="5"/>
      <c r="C58" s="5" t="s">
        <v>154</v>
      </c>
      <c r="D58" s="5"/>
      <c r="E58" s="5"/>
      <c r="F58" s="26"/>
    </row>
    <row r="59" spans="1:6" x14ac:dyDescent="0.25">
      <c r="A59" s="4"/>
      <c r="B59" s="5"/>
      <c r="C59" s="5" t="s">
        <v>155</v>
      </c>
      <c r="D59" s="5"/>
      <c r="E59" s="5"/>
      <c r="F59" s="26"/>
    </row>
    <row r="60" spans="1:6" x14ac:dyDescent="0.25">
      <c r="A60" s="4"/>
      <c r="B60" s="5"/>
      <c r="C60" s="5" t="s">
        <v>156</v>
      </c>
      <c r="D60" s="5"/>
      <c r="E60" s="5"/>
      <c r="F60" s="26"/>
    </row>
    <row r="61" spans="1:6" x14ac:dyDescent="0.25">
      <c r="A61" s="4"/>
      <c r="B61" s="5"/>
      <c r="C61" s="5" t="s">
        <v>157</v>
      </c>
      <c r="D61" s="5"/>
      <c r="E61" s="5"/>
      <c r="F61" s="26">
        <v>10000</v>
      </c>
    </row>
    <row r="62" spans="1:6" x14ac:dyDescent="0.2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158</v>
      </c>
      <c r="D63" s="5"/>
      <c r="E63" s="5"/>
      <c r="F63" s="26"/>
    </row>
    <row r="64" spans="1:6" x14ac:dyDescent="0.25">
      <c r="A64" s="4"/>
      <c r="B64" s="5"/>
      <c r="C64" s="5" t="s">
        <v>159</v>
      </c>
      <c r="D64" s="5"/>
      <c r="E64" s="5"/>
      <c r="F64" s="26"/>
    </row>
    <row r="65" spans="1:6" x14ac:dyDescent="0.25">
      <c r="A65" s="4"/>
      <c r="B65" s="5"/>
      <c r="C65" s="5" t="s">
        <v>160</v>
      </c>
      <c r="D65" s="5"/>
      <c r="E65" s="5"/>
      <c r="F65" s="26">
        <v>0</v>
      </c>
    </row>
    <row r="66" spans="1:6" x14ac:dyDescent="0.2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162</v>
      </c>
      <c r="C69" s="5"/>
      <c r="D69" s="5"/>
      <c r="E69" s="5"/>
      <c r="F69" s="26"/>
    </row>
    <row r="70" spans="1:6" x14ac:dyDescent="0.25">
      <c r="A70" s="4"/>
      <c r="B70" s="5"/>
      <c r="C70" s="5" t="s">
        <v>163</v>
      </c>
      <c r="D70" s="5"/>
      <c r="E70" s="5"/>
      <c r="F70" s="26"/>
    </row>
    <row r="71" spans="1:6" x14ac:dyDescent="0.2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156</v>
      </c>
      <c r="D72" s="5"/>
      <c r="E72" s="5"/>
      <c r="F72" s="26"/>
    </row>
    <row r="73" spans="1:6" x14ac:dyDescent="0.2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25">
      <c r="A74" s="4"/>
      <c r="C74" s="5" t="s">
        <v>158</v>
      </c>
      <c r="D74" s="5"/>
      <c r="E74" s="5"/>
      <c r="F74" s="26"/>
    </row>
    <row r="75" spans="1:6" x14ac:dyDescent="0.25">
      <c r="A75" s="4"/>
      <c r="C75" s="5" t="s">
        <v>159</v>
      </c>
      <c r="D75" s="5"/>
      <c r="E75" s="5"/>
      <c r="F75" s="26"/>
    </row>
    <row r="76" spans="1:6" x14ac:dyDescent="0.25">
      <c r="A76" s="4"/>
      <c r="C76" s="5" t="s">
        <v>160</v>
      </c>
      <c r="D76" s="5"/>
      <c r="E76" s="5"/>
      <c r="F76" s="26"/>
    </row>
    <row r="77" spans="1:6" x14ac:dyDescent="0.2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166</v>
      </c>
      <c r="D78" s="5"/>
      <c r="E78" s="5"/>
      <c r="F78" s="26"/>
    </row>
    <row r="79" spans="1:6" x14ac:dyDescent="0.25">
      <c r="A79" s="4"/>
      <c r="C79" s="5" t="s">
        <v>167</v>
      </c>
      <c r="D79" s="5"/>
      <c r="E79" s="5"/>
      <c r="F79" s="26"/>
    </row>
    <row r="80" spans="1:6" x14ac:dyDescent="0.25">
      <c r="A80" s="4"/>
      <c r="C80" s="5" t="s">
        <v>168</v>
      </c>
      <c r="D80" s="5"/>
      <c r="E80" s="5"/>
      <c r="F80" s="26"/>
    </row>
    <row r="81" spans="1:6" x14ac:dyDescent="0.25">
      <c r="A81" s="4"/>
      <c r="C81" s="5" t="s">
        <v>169</v>
      </c>
      <c r="D81" s="5"/>
      <c r="E81" s="5"/>
      <c r="F81" s="26"/>
    </row>
    <row r="82" spans="1:6" x14ac:dyDescent="0.25">
      <c r="A82" s="4"/>
      <c r="C82" s="5" t="s">
        <v>170</v>
      </c>
      <c r="D82" s="5"/>
      <c r="E82" s="5"/>
      <c r="F82" s="26"/>
    </row>
    <row r="83" spans="1:6" x14ac:dyDescent="0.25">
      <c r="A83" s="4"/>
      <c r="C83" s="5" t="s">
        <v>7426</v>
      </c>
      <c r="D83" s="5"/>
      <c r="E83" s="5"/>
      <c r="F83" s="64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172</v>
      </c>
      <c r="C85" s="5"/>
      <c r="D85" s="5"/>
      <c r="E85" s="5"/>
      <c r="F85" s="26"/>
    </row>
    <row r="86" spans="1:6" x14ac:dyDescent="0.25">
      <c r="A86" s="4"/>
      <c r="B86" s="5"/>
      <c r="C86" s="5" t="s">
        <v>156</v>
      </c>
      <c r="D86" s="5"/>
      <c r="E86" s="5"/>
      <c r="F86" s="26"/>
    </row>
    <row r="87" spans="1:6" x14ac:dyDescent="0.25">
      <c r="A87" s="4"/>
      <c r="B87" s="5"/>
      <c r="C87" s="5" t="s">
        <v>140</v>
      </c>
      <c r="D87" s="5"/>
      <c r="E87" s="5"/>
      <c r="F87" s="26"/>
    </row>
    <row r="88" spans="1:6" x14ac:dyDescent="0.25">
      <c r="A88" s="4"/>
      <c r="B88" s="5"/>
      <c r="C88" s="5" t="s">
        <v>158</v>
      </c>
      <c r="D88" s="5"/>
      <c r="E88" s="5"/>
      <c r="F88" s="26"/>
    </row>
    <row r="89" spans="1:6" x14ac:dyDescent="0.25">
      <c r="A89" s="4"/>
      <c r="B89" s="5"/>
      <c r="C89" s="5" t="s">
        <v>173</v>
      </c>
      <c r="D89" s="5"/>
      <c r="E89" s="5"/>
      <c r="F89" s="64">
        <v>64000</v>
      </c>
    </row>
    <row r="90" spans="1:6" x14ac:dyDescent="0.25">
      <c r="A90" s="4"/>
      <c r="B90" s="5"/>
      <c r="C90" s="5" t="s">
        <v>159</v>
      </c>
      <c r="D90" s="5"/>
      <c r="E90" s="5"/>
      <c r="F90" s="26"/>
    </row>
    <row r="91" spans="1:6" x14ac:dyDescent="0.25">
      <c r="A91" s="4"/>
      <c r="B91" s="5"/>
      <c r="C91" s="5" t="s">
        <v>174</v>
      </c>
      <c r="D91" s="5"/>
      <c r="E91" s="5"/>
      <c r="F91" s="26"/>
    </row>
    <row r="92" spans="1:6" x14ac:dyDescent="0.2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175</v>
      </c>
      <c r="D93" s="5"/>
      <c r="E93" s="5"/>
      <c r="F93" s="26"/>
    </row>
    <row r="94" spans="1:6" x14ac:dyDescent="0.2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177</v>
      </c>
      <c r="C96" s="5"/>
      <c r="D96" s="5"/>
      <c r="E96" s="5"/>
      <c r="F96" s="26"/>
    </row>
    <row r="97" spans="1:6" x14ac:dyDescent="0.25">
      <c r="A97" s="4"/>
      <c r="B97" s="5"/>
      <c r="C97" s="5" t="s">
        <v>156</v>
      </c>
      <c r="D97" s="5"/>
      <c r="E97" s="5"/>
      <c r="F97" s="26"/>
    </row>
    <row r="98" spans="1:6" x14ac:dyDescent="0.25">
      <c r="A98" s="4"/>
      <c r="B98" s="5"/>
      <c r="C98" s="5" t="s">
        <v>140</v>
      </c>
      <c r="D98" s="5"/>
      <c r="E98" s="5"/>
      <c r="F98" s="26"/>
    </row>
    <row r="99" spans="1:6" x14ac:dyDescent="0.25">
      <c r="A99" s="4"/>
      <c r="B99" s="5"/>
      <c r="C99" s="5" t="s">
        <v>158</v>
      </c>
      <c r="D99" s="5"/>
      <c r="E99" s="5"/>
      <c r="F99" s="26"/>
    </row>
    <row r="100" spans="1:6" x14ac:dyDescent="0.25">
      <c r="A100" s="4"/>
      <c r="B100" s="5"/>
      <c r="C100" s="5" t="s">
        <v>159</v>
      </c>
      <c r="D100" s="5"/>
      <c r="E100" s="5"/>
      <c r="F100" s="26"/>
    </row>
    <row r="101" spans="1:6" x14ac:dyDescent="0.25">
      <c r="A101" s="4"/>
      <c r="B101" s="5"/>
      <c r="C101" s="5" t="s">
        <v>160</v>
      </c>
      <c r="D101" s="5"/>
      <c r="E101" s="5"/>
      <c r="F101" s="26"/>
    </row>
    <row r="102" spans="1:6" x14ac:dyDescent="0.2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175</v>
      </c>
      <c r="D103" s="5"/>
      <c r="E103" s="5"/>
      <c r="F103" s="26"/>
    </row>
    <row r="104" spans="1:6" x14ac:dyDescent="0.25">
      <c r="A104" s="4"/>
      <c r="B104" s="5"/>
      <c r="C104" s="5" t="s">
        <v>178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179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156</v>
      </c>
      <c r="D107" s="5"/>
      <c r="E107" s="5"/>
      <c r="F107" s="26"/>
    </row>
    <row r="108" spans="1:6" x14ac:dyDescent="0.25">
      <c r="A108" s="4"/>
      <c r="B108" s="5"/>
      <c r="C108" s="5" t="s">
        <v>140</v>
      </c>
      <c r="D108" s="5"/>
      <c r="E108" s="5"/>
      <c r="F108" s="26"/>
    </row>
    <row r="109" spans="1:6" x14ac:dyDescent="0.25">
      <c r="A109" s="4"/>
      <c r="B109" s="5"/>
      <c r="C109" s="5" t="s">
        <v>158</v>
      </c>
      <c r="D109" s="5"/>
      <c r="E109" s="5"/>
      <c r="F109" s="26"/>
    </row>
    <row r="110" spans="1:6" x14ac:dyDescent="0.25">
      <c r="A110" s="4"/>
      <c r="B110" s="5"/>
      <c r="C110" s="5" t="s">
        <v>159</v>
      </c>
      <c r="D110" s="5"/>
      <c r="E110" s="5"/>
      <c r="F110" s="26"/>
    </row>
    <row r="111" spans="1:6" x14ac:dyDescent="0.25">
      <c r="A111" s="4"/>
      <c r="B111" s="5"/>
      <c r="C111" s="5" t="s">
        <v>160</v>
      </c>
      <c r="D111" s="5"/>
      <c r="E111" s="5"/>
      <c r="F111" s="26"/>
    </row>
    <row r="112" spans="1:6" x14ac:dyDescent="0.2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180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181</v>
      </c>
      <c r="C115" s="5"/>
      <c r="D115" s="5"/>
      <c r="E115" s="5"/>
      <c r="F115" s="26"/>
    </row>
    <row r="116" spans="1:6" x14ac:dyDescent="0.25">
      <c r="A116" s="4"/>
      <c r="B116" s="5" t="s">
        <v>182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7427</v>
      </c>
      <c r="E117" s="5"/>
      <c r="F117" s="12"/>
    </row>
    <row r="118" spans="1:6" x14ac:dyDescent="0.2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2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25">
      <c r="A123" s="4"/>
      <c r="B123" s="5" t="s">
        <v>189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2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193</v>
      </c>
      <c r="C128" s="5"/>
      <c r="D128" s="5"/>
      <c r="E128" s="5"/>
      <c r="F128" s="61"/>
    </row>
    <row r="129" spans="1:9" x14ac:dyDescent="0.2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2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3"/>
  <sheetViews>
    <sheetView zoomScale="120" zoomScaleNormal="120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1.140625" style="175" bestFit="1" customWidth="1"/>
    <col min="7" max="7" width="11.7109375" style="183" customWidth="1"/>
    <col min="8" max="16384" width="9.140625" style="183"/>
  </cols>
  <sheetData>
    <row r="1" spans="1:7" s="3" customFormat="1" ht="15.75" thickBot="1" x14ac:dyDescent="0.3">
      <c r="A1" s="164"/>
      <c r="B1" s="164"/>
      <c r="C1" s="164"/>
      <c r="D1" s="164"/>
      <c r="E1" s="164"/>
      <c r="F1" s="171" t="s">
        <v>7863</v>
      </c>
      <c r="G1" s="39" t="s">
        <v>224</v>
      </c>
    </row>
    <row r="2" spans="1:7" ht="15.75" thickTop="1" x14ac:dyDescent="0.25">
      <c r="A2" s="184"/>
      <c r="B2" s="184"/>
      <c r="C2" s="184" t="s">
        <v>7730</v>
      </c>
      <c r="D2" s="184"/>
      <c r="E2" s="184"/>
      <c r="F2" s="172"/>
    </row>
    <row r="3" spans="1:7" x14ac:dyDescent="0.25">
      <c r="A3" s="184"/>
      <c r="B3" s="184"/>
      <c r="C3" s="184"/>
      <c r="D3" s="184" t="s">
        <v>49</v>
      </c>
      <c r="E3" s="184"/>
      <c r="F3" s="172">
        <v>229331.42</v>
      </c>
    </row>
    <row r="4" spans="1:7" x14ac:dyDescent="0.25">
      <c r="A4" s="184"/>
      <c r="B4" s="184"/>
      <c r="C4" s="184"/>
      <c r="D4" s="184" t="s">
        <v>7729</v>
      </c>
      <c r="E4" s="184"/>
      <c r="F4" s="172"/>
    </row>
    <row r="5" spans="1:7" x14ac:dyDescent="0.25">
      <c r="A5" s="184"/>
      <c r="B5" s="184"/>
      <c r="C5" s="184"/>
      <c r="D5" s="184" t="s">
        <v>7728</v>
      </c>
      <c r="E5" s="184"/>
      <c r="F5" s="172"/>
    </row>
    <row r="6" spans="1:7" x14ac:dyDescent="0.25">
      <c r="A6" s="184"/>
      <c r="B6" s="184"/>
      <c r="C6" s="184"/>
      <c r="D6" s="184"/>
      <c r="E6" s="184" t="s">
        <v>53</v>
      </c>
      <c r="F6" s="172">
        <v>46160.3</v>
      </c>
    </row>
    <row r="7" spans="1:7" x14ac:dyDescent="0.25">
      <c r="A7" s="184"/>
      <c r="B7" s="184"/>
      <c r="C7" s="184"/>
      <c r="D7" s="184"/>
      <c r="E7" s="184" t="s">
        <v>62</v>
      </c>
      <c r="F7" s="172">
        <v>-3053.58</v>
      </c>
    </row>
    <row r="8" spans="1:7" x14ac:dyDescent="0.25">
      <c r="A8" s="184"/>
      <c r="B8" s="184"/>
      <c r="C8" s="184"/>
      <c r="D8" s="184"/>
      <c r="E8" s="184" t="s">
        <v>7850</v>
      </c>
      <c r="F8" s="172">
        <v>15000</v>
      </c>
    </row>
    <row r="9" spans="1:7" x14ac:dyDescent="0.25">
      <c r="A9" s="184"/>
      <c r="B9" s="184"/>
      <c r="C9" s="184"/>
      <c r="D9" s="184"/>
      <c r="E9" s="184" t="s">
        <v>7840</v>
      </c>
      <c r="F9" s="172">
        <v>-13300.37</v>
      </c>
    </row>
    <row r="10" spans="1:7" x14ac:dyDescent="0.25">
      <c r="A10" s="184"/>
      <c r="B10" s="184"/>
      <c r="C10" s="184"/>
      <c r="D10" s="184"/>
      <c r="E10" s="184" t="s">
        <v>7727</v>
      </c>
      <c r="F10" s="172">
        <v>-36135.42</v>
      </c>
    </row>
    <row r="11" spans="1:7" x14ac:dyDescent="0.25">
      <c r="A11" s="184"/>
      <c r="B11" s="184"/>
      <c r="C11" s="184"/>
      <c r="D11" s="184"/>
      <c r="E11" s="184" t="s">
        <v>7726</v>
      </c>
      <c r="F11" s="172">
        <v>5583.33</v>
      </c>
    </row>
    <row r="12" spans="1:7" x14ac:dyDescent="0.25">
      <c r="A12" s="184"/>
      <c r="B12" s="184"/>
      <c r="C12" s="184"/>
      <c r="D12" s="184"/>
      <c r="E12" s="184" t="s">
        <v>7841</v>
      </c>
      <c r="F12" s="172">
        <v>-7470</v>
      </c>
    </row>
    <row r="13" spans="1:7" x14ac:dyDescent="0.25">
      <c r="A13" s="184"/>
      <c r="B13" s="184"/>
      <c r="C13" s="184"/>
      <c r="D13" s="184"/>
      <c r="E13" s="184" t="s">
        <v>7817</v>
      </c>
      <c r="F13" s="172">
        <v>707600</v>
      </c>
    </row>
    <row r="14" spans="1:7" x14ac:dyDescent="0.25">
      <c r="A14" s="184"/>
      <c r="B14" s="184"/>
      <c r="C14" s="184"/>
      <c r="D14" s="184"/>
      <c r="E14" s="184" t="s">
        <v>7842</v>
      </c>
      <c r="F14" s="172">
        <v>-14918.5</v>
      </c>
    </row>
    <row r="15" spans="1:7" x14ac:dyDescent="0.25">
      <c r="A15" s="184"/>
      <c r="B15" s="184"/>
      <c r="C15" s="184"/>
      <c r="D15" s="184"/>
      <c r="E15" s="184" t="s">
        <v>7876</v>
      </c>
      <c r="F15" s="172">
        <v>7000</v>
      </c>
    </row>
    <row r="16" spans="1:7" x14ac:dyDescent="0.25">
      <c r="A16" s="184"/>
      <c r="B16" s="184"/>
      <c r="C16" s="184"/>
      <c r="D16" s="184"/>
      <c r="E16" s="184" t="s">
        <v>7843</v>
      </c>
      <c r="F16" s="172">
        <v>-67775.03</v>
      </c>
    </row>
    <row r="17" spans="1:6" ht="15.75" thickBot="1" x14ac:dyDescent="0.3">
      <c r="A17" s="184"/>
      <c r="B17" s="184"/>
      <c r="C17" s="184"/>
      <c r="D17" s="184"/>
      <c r="E17" s="184" t="s">
        <v>7695</v>
      </c>
      <c r="F17" s="176">
        <v>879.85</v>
      </c>
    </row>
    <row r="18" spans="1:6" x14ac:dyDescent="0.25">
      <c r="A18" s="184"/>
      <c r="B18" s="184"/>
      <c r="C18" s="184" t="s">
        <v>7725</v>
      </c>
      <c r="D18" s="184"/>
      <c r="E18" s="184"/>
      <c r="F18" s="172">
        <f>ROUND(SUM(F2:F3)+SUM(F6:F17),5)</f>
        <v>868902</v>
      </c>
    </row>
    <row r="19" spans="1:6" x14ac:dyDescent="0.25">
      <c r="A19" s="184"/>
      <c r="B19" s="184"/>
      <c r="C19" s="184" t="s">
        <v>7724</v>
      </c>
      <c r="D19" s="184"/>
      <c r="E19" s="184"/>
      <c r="F19" s="172"/>
    </row>
    <row r="20" spans="1:6" x14ac:dyDescent="0.25">
      <c r="A20" s="184"/>
      <c r="B20" s="184"/>
      <c r="C20" s="184"/>
      <c r="D20" s="184" t="s">
        <v>86</v>
      </c>
      <c r="E20" s="184"/>
      <c r="F20" s="172">
        <v>240.84</v>
      </c>
    </row>
    <row r="21" spans="1:6" x14ac:dyDescent="0.25">
      <c r="A21" s="184"/>
      <c r="B21" s="184"/>
      <c r="C21" s="184"/>
      <c r="D21" s="184" t="s">
        <v>7844</v>
      </c>
      <c r="E21" s="184"/>
      <c r="F21" s="172">
        <v>-48996.28</v>
      </c>
    </row>
    <row r="22" spans="1:6" x14ac:dyDescent="0.25">
      <c r="A22" s="184"/>
      <c r="B22" s="184"/>
      <c r="C22" s="184"/>
      <c r="D22" s="184" t="s">
        <v>7877</v>
      </c>
      <c r="E22" s="184"/>
      <c r="F22" s="172">
        <v>-656.01</v>
      </c>
    </row>
    <row r="23" spans="1:6" x14ac:dyDescent="0.25">
      <c r="A23" s="184"/>
      <c r="B23" s="184"/>
      <c r="C23" s="184"/>
      <c r="D23" s="184" t="s">
        <v>7845</v>
      </c>
      <c r="E23" s="184"/>
      <c r="F23" s="172">
        <v>10275</v>
      </c>
    </row>
    <row r="24" spans="1:6" ht="15.75" thickBot="1" x14ac:dyDescent="0.3">
      <c r="A24" s="184"/>
      <c r="B24" s="184"/>
      <c r="C24" s="184"/>
      <c r="D24" s="184" t="s">
        <v>7846</v>
      </c>
      <c r="E24" s="184"/>
      <c r="F24" s="176">
        <v>-6635.59</v>
      </c>
    </row>
    <row r="25" spans="1:6" x14ac:dyDescent="0.25">
      <c r="A25" s="184"/>
      <c r="B25" s="184"/>
      <c r="C25" s="184" t="s">
        <v>7723</v>
      </c>
      <c r="D25" s="184"/>
      <c r="E25" s="184"/>
      <c r="F25" s="172">
        <f>ROUND(SUM(F19:F24),5)</f>
        <v>-45772.04</v>
      </c>
    </row>
    <row r="26" spans="1:6" x14ac:dyDescent="0.25">
      <c r="A26" s="184"/>
      <c r="B26" s="184"/>
      <c r="C26" s="184" t="s">
        <v>7851</v>
      </c>
      <c r="D26" s="184"/>
      <c r="E26" s="184"/>
      <c r="F26" s="172"/>
    </row>
    <row r="27" spans="1:6" x14ac:dyDescent="0.25">
      <c r="A27" s="184"/>
      <c r="B27" s="184"/>
      <c r="C27" s="184"/>
      <c r="D27" s="184" t="s">
        <v>98</v>
      </c>
      <c r="E27" s="184"/>
      <c r="F27" s="172">
        <v>10000</v>
      </c>
    </row>
    <row r="28" spans="1:6" ht="15.75" thickBot="1" x14ac:dyDescent="0.3">
      <c r="A28" s="184"/>
      <c r="B28" s="184"/>
      <c r="C28" s="184"/>
      <c r="D28" s="184" t="s">
        <v>99</v>
      </c>
      <c r="E28" s="184"/>
      <c r="F28" s="172">
        <v>-10000</v>
      </c>
    </row>
    <row r="29" spans="1:6" ht="15.75" thickBot="1" x14ac:dyDescent="0.3">
      <c r="A29" s="184"/>
      <c r="B29" s="184"/>
      <c r="C29" s="184" t="s">
        <v>7852</v>
      </c>
      <c r="D29" s="184"/>
      <c r="E29" s="184"/>
      <c r="F29" s="177">
        <f>ROUND(SUM(F26:F28),5)</f>
        <v>0</v>
      </c>
    </row>
    <row r="30" spans="1:6" x14ac:dyDescent="0.25">
      <c r="A30" s="184"/>
      <c r="B30" s="184" t="s">
        <v>7722</v>
      </c>
      <c r="C30" s="184"/>
      <c r="D30" s="184"/>
      <c r="E30" s="184"/>
      <c r="F30" s="172">
        <f>ROUND(F18+F25+F29,5)</f>
        <v>823129.96</v>
      </c>
    </row>
    <row r="31" spans="1:6" ht="15.75" thickBot="1" x14ac:dyDescent="0.3">
      <c r="A31" s="184"/>
      <c r="B31" s="184" t="s">
        <v>7721</v>
      </c>
      <c r="C31" s="184"/>
      <c r="D31" s="184"/>
      <c r="E31" s="184"/>
      <c r="F31" s="172">
        <v>1456601.47</v>
      </c>
    </row>
    <row r="32" spans="1:6" s="2" customFormat="1" ht="12" thickBot="1" x14ac:dyDescent="0.25">
      <c r="A32" s="184" t="s">
        <v>7720</v>
      </c>
      <c r="B32" s="184"/>
      <c r="C32" s="184"/>
      <c r="D32" s="184"/>
      <c r="E32" s="184"/>
      <c r="F32" s="174">
        <f>ROUND(SUM(F30:F31),5)</f>
        <v>2279731.4300000002</v>
      </c>
    </row>
    <row r="33" ht="15.75" thickTop="1" x14ac:dyDescent="0.2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4" name="HEADER"/>
      </mc:Fallback>
    </mc:AlternateContent>
    <mc:AlternateContent xmlns:mc="http://schemas.openxmlformats.org/markup-compatibility/2006">
      <mc:Choice Requires="x14">
        <control shapeId="1402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6" name="FILT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I33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1" sqref="I1"/>
    </sheetView>
  </sheetViews>
  <sheetFormatPr defaultColWidth="8.7109375" defaultRowHeight="15" x14ac:dyDescent="0.25"/>
  <cols>
    <col min="1" max="1" width="2.85546875" style="2" customWidth="1"/>
    <col min="2" max="2" width="30.42578125" style="2" customWidth="1"/>
    <col min="3" max="3" width="10.140625" style="175" customWidth="1"/>
    <col min="4" max="7" width="9.28515625" style="175" customWidth="1"/>
    <col min="8" max="8" width="10.140625" style="175" customWidth="1"/>
    <col min="9" max="9" width="11.28515625" style="162" customWidth="1"/>
    <col min="10" max="16384" width="8.7109375" style="162"/>
  </cols>
  <sheetData>
    <row r="1" spans="1:9" s="3" customFormat="1" ht="15.75" thickBot="1" x14ac:dyDescent="0.3">
      <c r="A1" s="164"/>
      <c r="B1" s="164"/>
      <c r="C1" s="171" t="s">
        <v>259</v>
      </c>
      <c r="D1" s="171" t="s">
        <v>258</v>
      </c>
      <c r="E1" s="171" t="s">
        <v>257</v>
      </c>
      <c r="F1" s="171" t="s">
        <v>256</v>
      </c>
      <c r="G1" s="171" t="s">
        <v>255</v>
      </c>
      <c r="H1" s="171" t="s">
        <v>2</v>
      </c>
      <c r="I1" s="39" t="s">
        <v>224</v>
      </c>
    </row>
    <row r="2" spans="1:9" ht="15.75" thickTop="1" x14ac:dyDescent="0.25">
      <c r="A2" s="184"/>
      <c r="B2" s="184" t="s">
        <v>7878</v>
      </c>
      <c r="C2" s="172">
        <v>4500</v>
      </c>
      <c r="D2" s="172">
        <v>0</v>
      </c>
      <c r="E2" s="172">
        <v>0</v>
      </c>
      <c r="F2" s="172">
        <v>0</v>
      </c>
      <c r="G2" s="172">
        <v>0</v>
      </c>
      <c r="H2" s="172">
        <f t="shared" ref="H2:H32" si="0">ROUND(SUM(C2:G2),5)</f>
        <v>4500</v>
      </c>
    </row>
    <row r="3" spans="1:9" x14ac:dyDescent="0.25">
      <c r="A3" s="184"/>
      <c r="B3" s="184" t="s">
        <v>1156</v>
      </c>
      <c r="C3" s="172">
        <v>0</v>
      </c>
      <c r="D3" s="172">
        <v>245.85</v>
      </c>
      <c r="E3" s="172">
        <v>0</v>
      </c>
      <c r="F3" s="172">
        <v>0</v>
      </c>
      <c r="G3" s="172">
        <v>0</v>
      </c>
      <c r="H3" s="172">
        <f t="shared" si="0"/>
        <v>245.85</v>
      </c>
    </row>
    <row r="4" spans="1:9" x14ac:dyDescent="0.25">
      <c r="A4" s="184"/>
      <c r="B4" s="184" t="s">
        <v>7879</v>
      </c>
      <c r="C4" s="172">
        <v>0</v>
      </c>
      <c r="D4" s="172">
        <v>1500</v>
      </c>
      <c r="E4" s="172">
        <v>0</v>
      </c>
      <c r="F4" s="172">
        <v>0</v>
      </c>
      <c r="G4" s="172">
        <v>0</v>
      </c>
      <c r="H4" s="172">
        <f t="shared" si="0"/>
        <v>1500</v>
      </c>
    </row>
    <row r="5" spans="1:9" x14ac:dyDescent="0.25">
      <c r="A5" s="184"/>
      <c r="B5" s="184" t="s">
        <v>7880</v>
      </c>
      <c r="C5" s="172">
        <v>138.83000000000001</v>
      </c>
      <c r="D5" s="172">
        <v>0</v>
      </c>
      <c r="E5" s="172">
        <v>0</v>
      </c>
      <c r="F5" s="172">
        <v>0</v>
      </c>
      <c r="G5" s="172">
        <v>0</v>
      </c>
      <c r="H5" s="172">
        <f t="shared" si="0"/>
        <v>138.83000000000001</v>
      </c>
    </row>
    <row r="6" spans="1:9" x14ac:dyDescent="0.25">
      <c r="A6" s="184"/>
      <c r="B6" s="184" t="s">
        <v>7881</v>
      </c>
      <c r="C6" s="172">
        <v>93.02</v>
      </c>
      <c r="D6" s="172">
        <v>0</v>
      </c>
      <c r="E6" s="172">
        <v>0</v>
      </c>
      <c r="F6" s="172">
        <v>0</v>
      </c>
      <c r="G6" s="172">
        <v>0</v>
      </c>
      <c r="H6" s="172">
        <f t="shared" si="0"/>
        <v>93.02</v>
      </c>
    </row>
    <row r="7" spans="1:9" x14ac:dyDescent="0.25">
      <c r="A7" s="184"/>
      <c r="B7" s="184" t="s">
        <v>1161</v>
      </c>
      <c r="C7" s="172">
        <v>0</v>
      </c>
      <c r="D7" s="172">
        <v>99.01</v>
      </c>
      <c r="E7" s="172">
        <v>0</v>
      </c>
      <c r="F7" s="172">
        <v>0</v>
      </c>
      <c r="G7" s="172">
        <v>0</v>
      </c>
      <c r="H7" s="172">
        <f t="shared" si="0"/>
        <v>99.01</v>
      </c>
    </row>
    <row r="8" spans="1:9" x14ac:dyDescent="0.25">
      <c r="A8" s="184"/>
      <c r="B8" s="184" t="s">
        <v>7022</v>
      </c>
      <c r="C8" s="172">
        <v>149.97999999999999</v>
      </c>
      <c r="D8" s="172">
        <v>0</v>
      </c>
      <c r="E8" s="172">
        <v>0</v>
      </c>
      <c r="F8" s="172">
        <v>0</v>
      </c>
      <c r="G8" s="172">
        <v>0</v>
      </c>
      <c r="H8" s="172">
        <f t="shared" si="0"/>
        <v>149.97999999999999</v>
      </c>
    </row>
    <row r="9" spans="1:9" x14ac:dyDescent="0.25">
      <c r="A9" s="184"/>
      <c r="B9" s="184" t="s">
        <v>7847</v>
      </c>
      <c r="C9" s="172">
        <v>4374.34</v>
      </c>
      <c r="D9" s="172">
        <v>0</v>
      </c>
      <c r="E9" s="172">
        <v>0</v>
      </c>
      <c r="F9" s="172">
        <v>0</v>
      </c>
      <c r="G9" s="172">
        <v>0</v>
      </c>
      <c r="H9" s="172">
        <f t="shared" si="0"/>
        <v>4374.34</v>
      </c>
    </row>
    <row r="10" spans="1:9" x14ac:dyDescent="0.25">
      <c r="A10" s="184"/>
      <c r="B10" s="184" t="s">
        <v>7848</v>
      </c>
      <c r="C10" s="172">
        <v>758.62</v>
      </c>
      <c r="D10" s="172">
        <v>0</v>
      </c>
      <c r="E10" s="172">
        <v>0</v>
      </c>
      <c r="F10" s="172">
        <v>0</v>
      </c>
      <c r="G10" s="172">
        <v>0</v>
      </c>
      <c r="H10" s="172">
        <f t="shared" si="0"/>
        <v>758.62</v>
      </c>
    </row>
    <row r="11" spans="1:9" x14ac:dyDescent="0.25">
      <c r="A11" s="184"/>
      <c r="B11" s="184" t="s">
        <v>7030</v>
      </c>
      <c r="C11" s="172">
        <v>656.01</v>
      </c>
      <c r="D11" s="172">
        <v>0</v>
      </c>
      <c r="E11" s="172">
        <v>0</v>
      </c>
      <c r="F11" s="172">
        <v>0</v>
      </c>
      <c r="G11" s="172">
        <v>0</v>
      </c>
      <c r="H11" s="172">
        <f t="shared" si="0"/>
        <v>656.01</v>
      </c>
    </row>
    <row r="12" spans="1:9" x14ac:dyDescent="0.25">
      <c r="A12" s="184"/>
      <c r="B12" s="184" t="s">
        <v>7882</v>
      </c>
      <c r="C12" s="172">
        <v>0</v>
      </c>
      <c r="D12" s="172">
        <v>5521.5</v>
      </c>
      <c r="E12" s="172">
        <v>0</v>
      </c>
      <c r="F12" s="172">
        <v>0</v>
      </c>
      <c r="G12" s="172">
        <v>0</v>
      </c>
      <c r="H12" s="172">
        <f t="shared" si="0"/>
        <v>5521.5</v>
      </c>
    </row>
    <row r="13" spans="1:9" x14ac:dyDescent="0.25">
      <c r="A13" s="184"/>
      <c r="B13" s="184" t="s">
        <v>3409</v>
      </c>
      <c r="C13" s="172">
        <v>0</v>
      </c>
      <c r="D13" s="172">
        <v>64.23</v>
      </c>
      <c r="E13" s="172">
        <v>0</v>
      </c>
      <c r="F13" s="172">
        <v>0</v>
      </c>
      <c r="G13" s="172">
        <v>0</v>
      </c>
      <c r="H13" s="172">
        <f t="shared" si="0"/>
        <v>64.23</v>
      </c>
    </row>
    <row r="14" spans="1:9" x14ac:dyDescent="0.25">
      <c r="A14" s="184"/>
      <c r="B14" s="184" t="s">
        <v>1542</v>
      </c>
      <c r="C14" s="172">
        <v>316.39999999999998</v>
      </c>
      <c r="D14" s="172">
        <v>0</v>
      </c>
      <c r="E14" s="172">
        <v>0</v>
      </c>
      <c r="F14" s="172">
        <v>0</v>
      </c>
      <c r="G14" s="172">
        <v>0</v>
      </c>
      <c r="H14" s="172">
        <f t="shared" si="0"/>
        <v>316.39999999999998</v>
      </c>
    </row>
    <row r="15" spans="1:9" x14ac:dyDescent="0.25">
      <c r="A15" s="184"/>
      <c r="B15" s="184" t="s">
        <v>604</v>
      </c>
      <c r="C15" s="172">
        <v>0</v>
      </c>
      <c r="D15" s="172">
        <v>2970</v>
      </c>
      <c r="E15" s="172">
        <v>0</v>
      </c>
      <c r="F15" s="172">
        <v>0</v>
      </c>
      <c r="G15" s="172">
        <v>0</v>
      </c>
      <c r="H15" s="172">
        <f t="shared" si="0"/>
        <v>2970</v>
      </c>
    </row>
    <row r="16" spans="1:9" x14ac:dyDescent="0.25">
      <c r="A16" s="184"/>
      <c r="B16" s="184" t="s">
        <v>7849</v>
      </c>
      <c r="C16" s="172">
        <v>0</v>
      </c>
      <c r="D16" s="172">
        <v>931.25</v>
      </c>
      <c r="E16" s="172">
        <v>0</v>
      </c>
      <c r="F16" s="172">
        <v>0</v>
      </c>
      <c r="G16" s="172">
        <v>0</v>
      </c>
      <c r="H16" s="172">
        <f t="shared" si="0"/>
        <v>931.25</v>
      </c>
    </row>
    <row r="17" spans="1:8" x14ac:dyDescent="0.25">
      <c r="A17" s="184"/>
      <c r="B17" s="184" t="s">
        <v>7883</v>
      </c>
      <c r="C17" s="172">
        <v>0</v>
      </c>
      <c r="D17" s="172">
        <v>9.31</v>
      </c>
      <c r="E17" s="172">
        <v>0</v>
      </c>
      <c r="F17" s="172">
        <v>0</v>
      </c>
      <c r="G17" s="172">
        <v>0</v>
      </c>
      <c r="H17" s="172">
        <f t="shared" si="0"/>
        <v>9.31</v>
      </c>
    </row>
    <row r="18" spans="1:8" x14ac:dyDescent="0.25">
      <c r="A18" s="184"/>
      <c r="B18" s="184" t="s">
        <v>7884</v>
      </c>
      <c r="C18" s="172">
        <v>0</v>
      </c>
      <c r="D18" s="172">
        <v>76.260000000000005</v>
      </c>
      <c r="E18" s="172">
        <v>0</v>
      </c>
      <c r="F18" s="172">
        <v>0</v>
      </c>
      <c r="G18" s="172">
        <v>0</v>
      </c>
      <c r="H18" s="172">
        <f t="shared" si="0"/>
        <v>76.260000000000005</v>
      </c>
    </row>
    <row r="19" spans="1:8" x14ac:dyDescent="0.25">
      <c r="A19" s="184"/>
      <c r="B19" s="184" t="s">
        <v>2385</v>
      </c>
      <c r="C19" s="172">
        <v>847.9</v>
      </c>
      <c r="D19" s="172">
        <v>0</v>
      </c>
      <c r="E19" s="172">
        <v>0</v>
      </c>
      <c r="F19" s="172">
        <v>0</v>
      </c>
      <c r="G19" s="172">
        <v>0</v>
      </c>
      <c r="H19" s="172">
        <f t="shared" si="0"/>
        <v>847.9</v>
      </c>
    </row>
    <row r="20" spans="1:8" x14ac:dyDescent="0.25">
      <c r="A20" s="184"/>
      <c r="B20" s="184" t="s">
        <v>7445</v>
      </c>
      <c r="C20" s="172">
        <v>62.64</v>
      </c>
      <c r="D20" s="172">
        <v>0</v>
      </c>
      <c r="E20" s="172">
        <v>0</v>
      </c>
      <c r="F20" s="172">
        <v>0</v>
      </c>
      <c r="G20" s="172">
        <v>0</v>
      </c>
      <c r="H20" s="172">
        <f t="shared" si="0"/>
        <v>62.64</v>
      </c>
    </row>
    <row r="21" spans="1:8" x14ac:dyDescent="0.25">
      <c r="A21" s="184"/>
      <c r="B21" s="184" t="s">
        <v>5628</v>
      </c>
      <c r="C21" s="172">
        <v>0</v>
      </c>
      <c r="D21" s="172">
        <v>3993.71</v>
      </c>
      <c r="E21" s="172">
        <v>0</v>
      </c>
      <c r="F21" s="172">
        <v>0</v>
      </c>
      <c r="G21" s="172">
        <v>0</v>
      </c>
      <c r="H21" s="172">
        <f t="shared" si="0"/>
        <v>3993.71</v>
      </c>
    </row>
    <row r="22" spans="1:8" x14ac:dyDescent="0.25">
      <c r="A22" s="184"/>
      <c r="B22" s="184" t="s">
        <v>7885</v>
      </c>
      <c r="C22" s="172">
        <v>3391.52</v>
      </c>
      <c r="D22" s="172">
        <v>0</v>
      </c>
      <c r="E22" s="172">
        <v>0</v>
      </c>
      <c r="F22" s="172">
        <v>0</v>
      </c>
      <c r="G22" s="172">
        <v>0</v>
      </c>
      <c r="H22" s="172">
        <f t="shared" si="0"/>
        <v>3391.52</v>
      </c>
    </row>
    <row r="23" spans="1:8" x14ac:dyDescent="0.25">
      <c r="A23" s="184"/>
      <c r="B23" s="184" t="s">
        <v>1725</v>
      </c>
      <c r="C23" s="172">
        <v>116.03</v>
      </c>
      <c r="D23" s="172">
        <v>506.19</v>
      </c>
      <c r="E23" s="172">
        <v>0</v>
      </c>
      <c r="F23" s="172">
        <v>0</v>
      </c>
      <c r="G23" s="172">
        <v>0</v>
      </c>
      <c r="H23" s="172">
        <f t="shared" si="0"/>
        <v>622.22</v>
      </c>
    </row>
    <row r="24" spans="1:8" x14ac:dyDescent="0.25">
      <c r="A24" s="184"/>
      <c r="B24" s="184" t="s">
        <v>5267</v>
      </c>
      <c r="C24" s="172">
        <v>124.54</v>
      </c>
      <c r="D24" s="172">
        <v>0</v>
      </c>
      <c r="E24" s="172">
        <v>0</v>
      </c>
      <c r="F24" s="172">
        <v>0</v>
      </c>
      <c r="G24" s="172">
        <v>0</v>
      </c>
      <c r="H24" s="172">
        <f t="shared" si="0"/>
        <v>124.54</v>
      </c>
    </row>
    <row r="25" spans="1:8" x14ac:dyDescent="0.25">
      <c r="A25" s="184"/>
      <c r="B25" s="184" t="s">
        <v>7886</v>
      </c>
      <c r="C25" s="172">
        <v>3690</v>
      </c>
      <c r="D25" s="172">
        <v>0</v>
      </c>
      <c r="E25" s="172">
        <v>0</v>
      </c>
      <c r="F25" s="172">
        <v>0</v>
      </c>
      <c r="G25" s="172">
        <v>0</v>
      </c>
      <c r="H25" s="172">
        <f t="shared" si="0"/>
        <v>3690</v>
      </c>
    </row>
    <row r="26" spans="1:8" x14ac:dyDescent="0.25">
      <c r="A26" s="184"/>
      <c r="B26" s="184" t="s">
        <v>7694</v>
      </c>
      <c r="C26" s="172">
        <v>0</v>
      </c>
      <c r="D26" s="172">
        <v>480</v>
      </c>
      <c r="E26" s="172">
        <v>0</v>
      </c>
      <c r="F26" s="172">
        <v>0</v>
      </c>
      <c r="G26" s="172">
        <v>0</v>
      </c>
      <c r="H26" s="172">
        <f t="shared" si="0"/>
        <v>480</v>
      </c>
    </row>
    <row r="27" spans="1:8" x14ac:dyDescent="0.25">
      <c r="A27" s="184"/>
      <c r="B27" s="184" t="s">
        <v>7887</v>
      </c>
      <c r="C27" s="172">
        <v>0</v>
      </c>
      <c r="D27" s="172">
        <v>597.63</v>
      </c>
      <c r="E27" s="172">
        <v>0</v>
      </c>
      <c r="F27" s="172">
        <v>0</v>
      </c>
      <c r="G27" s="172">
        <v>0</v>
      </c>
      <c r="H27" s="172">
        <f t="shared" si="0"/>
        <v>597.63</v>
      </c>
    </row>
    <row r="28" spans="1:8" x14ac:dyDescent="0.25">
      <c r="A28" s="184"/>
      <c r="B28" s="184" t="s">
        <v>7888</v>
      </c>
      <c r="C28" s="172">
        <v>0</v>
      </c>
      <c r="D28" s="172">
        <v>547.20000000000005</v>
      </c>
      <c r="E28" s="172">
        <v>0</v>
      </c>
      <c r="F28" s="172">
        <v>0</v>
      </c>
      <c r="G28" s="172">
        <v>0</v>
      </c>
      <c r="H28" s="172">
        <f t="shared" si="0"/>
        <v>547.20000000000005</v>
      </c>
    </row>
    <row r="29" spans="1:8" x14ac:dyDescent="0.25">
      <c r="A29" s="184"/>
      <c r="B29" s="184" t="s">
        <v>263</v>
      </c>
      <c r="C29" s="172">
        <v>0</v>
      </c>
      <c r="D29" s="172">
        <v>0</v>
      </c>
      <c r="E29" s="172">
        <v>0</v>
      </c>
      <c r="F29" s="172">
        <v>0</v>
      </c>
      <c r="G29" s="172">
        <v>-511.84</v>
      </c>
      <c r="H29" s="172">
        <f t="shared" si="0"/>
        <v>-511.84</v>
      </c>
    </row>
    <row r="30" spans="1:8" s="2" customFormat="1" ht="11.25" x14ac:dyDescent="0.2">
      <c r="A30" s="184"/>
      <c r="B30" s="184" t="s">
        <v>7737</v>
      </c>
      <c r="C30" s="172">
        <v>743.75</v>
      </c>
      <c r="D30" s="172">
        <v>0</v>
      </c>
      <c r="E30" s="172">
        <v>0</v>
      </c>
      <c r="F30" s="172">
        <v>0</v>
      </c>
      <c r="G30" s="172">
        <v>-172.65</v>
      </c>
      <c r="H30" s="172">
        <f t="shared" si="0"/>
        <v>571.1</v>
      </c>
    </row>
    <row r="31" spans="1:8" ht="15.75" thickBot="1" x14ac:dyDescent="0.3">
      <c r="A31" s="184"/>
      <c r="B31" s="184" t="s">
        <v>5639</v>
      </c>
      <c r="C31" s="173">
        <v>220.51</v>
      </c>
      <c r="D31" s="173">
        <v>979</v>
      </c>
      <c r="E31" s="173">
        <v>0</v>
      </c>
      <c r="F31" s="173">
        <v>0</v>
      </c>
      <c r="G31" s="173">
        <v>0</v>
      </c>
      <c r="H31" s="173">
        <f t="shared" si="0"/>
        <v>1199.51</v>
      </c>
    </row>
    <row r="32" spans="1:8" ht="15.75" thickBot="1" x14ac:dyDescent="0.3">
      <c r="A32" s="184" t="s">
        <v>2</v>
      </c>
      <c r="B32" s="184"/>
      <c r="C32" s="174">
        <f>ROUND(SUM(C2:C31),5)</f>
        <v>20184.09</v>
      </c>
      <c r="D32" s="174">
        <f>ROUND(SUM(D2:D31),5)</f>
        <v>18521.14</v>
      </c>
      <c r="E32" s="174">
        <f>ROUND(SUM(E2:E31),5)</f>
        <v>0</v>
      </c>
      <c r="F32" s="174">
        <f>ROUND(SUM(F2:F31),5)</f>
        <v>0</v>
      </c>
      <c r="G32" s="174">
        <f>ROUND(SUM(G2:G31),5)</f>
        <v>-684.49</v>
      </c>
      <c r="H32" s="174">
        <f t="shared" si="0"/>
        <v>38020.74</v>
      </c>
    </row>
    <row r="33" ht="15.75" thickTop="1" x14ac:dyDescent="0.25"/>
  </sheetData>
  <hyperlinks>
    <hyperlink ref="I1" location="Contents!A1" display="Contents" xr:uid="{39D28155-E47D-4F09-9E19-B23847F8A28A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7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4" name="FILTER"/>
      </mc:Fallback>
    </mc:AlternateContent>
    <mc:AlternateContent xmlns:mc="http://schemas.openxmlformats.org/markup-compatibility/2006">
      <mc:Choice Requires="x14">
        <control shapeId="111618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6" name="HEAD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I29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1" sqref="I1"/>
    </sheetView>
  </sheetViews>
  <sheetFormatPr defaultColWidth="8.7109375" defaultRowHeight="15" x14ac:dyDescent="0.25"/>
  <cols>
    <col min="1" max="1" width="2.85546875" style="2" customWidth="1"/>
    <col min="2" max="2" width="38.85546875" style="2" customWidth="1"/>
    <col min="3" max="8" width="10.140625" style="175" customWidth="1"/>
    <col min="9" max="9" width="11.140625" style="162" customWidth="1"/>
    <col min="10" max="16384" width="8.7109375" style="162"/>
  </cols>
  <sheetData>
    <row r="1" spans="1:9" s="3" customFormat="1" ht="15.75" thickBot="1" x14ac:dyDescent="0.3">
      <c r="A1" s="164"/>
      <c r="B1" s="164"/>
      <c r="C1" s="171" t="s">
        <v>259</v>
      </c>
      <c r="D1" s="171" t="s">
        <v>258</v>
      </c>
      <c r="E1" s="171" t="s">
        <v>257</v>
      </c>
      <c r="F1" s="171" t="s">
        <v>256</v>
      </c>
      <c r="G1" s="171" t="s">
        <v>255</v>
      </c>
      <c r="H1" s="171" t="s">
        <v>2</v>
      </c>
      <c r="I1" s="39" t="s">
        <v>224</v>
      </c>
    </row>
    <row r="2" spans="1:9" ht="15.75" thickTop="1" x14ac:dyDescent="0.25">
      <c r="A2" s="184"/>
      <c r="B2" s="184" t="s">
        <v>7553</v>
      </c>
      <c r="C2" s="172">
        <v>0</v>
      </c>
      <c r="D2" s="172">
        <v>0</v>
      </c>
      <c r="E2" s="172">
        <v>0</v>
      </c>
      <c r="F2" s="172">
        <v>0</v>
      </c>
      <c r="G2" s="172">
        <v>2000</v>
      </c>
      <c r="H2" s="172">
        <f t="shared" ref="H2:H28" si="0">ROUND(SUM(C2:G2),5)</f>
        <v>2000</v>
      </c>
    </row>
    <row r="3" spans="1:9" x14ac:dyDescent="0.25">
      <c r="A3" s="184"/>
      <c r="B3" s="184" t="s">
        <v>7889</v>
      </c>
      <c r="C3" s="172">
        <v>7000</v>
      </c>
      <c r="D3" s="172">
        <v>0</v>
      </c>
      <c r="E3" s="172">
        <v>0</v>
      </c>
      <c r="F3" s="172">
        <v>0</v>
      </c>
      <c r="G3" s="172">
        <v>0</v>
      </c>
      <c r="H3" s="172">
        <f t="shared" si="0"/>
        <v>7000</v>
      </c>
    </row>
    <row r="4" spans="1:9" x14ac:dyDescent="0.25">
      <c r="A4" s="184"/>
      <c r="B4" s="184" t="s">
        <v>253</v>
      </c>
      <c r="C4" s="172">
        <v>0</v>
      </c>
      <c r="D4" s="172">
        <v>0</v>
      </c>
      <c r="E4" s="172">
        <v>0</v>
      </c>
      <c r="F4" s="172">
        <v>0</v>
      </c>
      <c r="G4" s="172">
        <v>-132.5</v>
      </c>
      <c r="H4" s="172">
        <f t="shared" si="0"/>
        <v>-132.5</v>
      </c>
    </row>
    <row r="5" spans="1:9" x14ac:dyDescent="0.25">
      <c r="A5" s="184"/>
      <c r="B5" s="184" t="s">
        <v>252</v>
      </c>
      <c r="C5" s="172">
        <v>0</v>
      </c>
      <c r="D5" s="172">
        <v>0</v>
      </c>
      <c r="E5" s="172">
        <v>0</v>
      </c>
      <c r="F5" s="172">
        <v>0</v>
      </c>
      <c r="G5" s="172">
        <v>-54012.77</v>
      </c>
      <c r="H5" s="172">
        <f t="shared" si="0"/>
        <v>-54012.77</v>
      </c>
    </row>
    <row r="6" spans="1:9" x14ac:dyDescent="0.25">
      <c r="A6" s="184"/>
      <c r="B6" s="184" t="s">
        <v>7833</v>
      </c>
      <c r="C6" s="172">
        <v>1000</v>
      </c>
      <c r="D6" s="172">
        <v>0</v>
      </c>
      <c r="E6" s="172">
        <v>0</v>
      </c>
      <c r="F6" s="172">
        <v>0</v>
      </c>
      <c r="G6" s="172">
        <v>0</v>
      </c>
      <c r="H6" s="172">
        <f t="shared" si="0"/>
        <v>1000</v>
      </c>
    </row>
    <row r="7" spans="1:9" x14ac:dyDescent="0.25">
      <c r="A7" s="184"/>
      <c r="B7" s="184" t="s">
        <v>7890</v>
      </c>
      <c r="C7" s="172">
        <v>17500</v>
      </c>
      <c r="D7" s="172">
        <v>0</v>
      </c>
      <c r="E7" s="172">
        <v>0</v>
      </c>
      <c r="F7" s="172">
        <v>0</v>
      </c>
      <c r="G7" s="172">
        <v>0</v>
      </c>
      <c r="H7" s="172">
        <f t="shared" si="0"/>
        <v>17500</v>
      </c>
    </row>
    <row r="8" spans="1:9" x14ac:dyDescent="0.25">
      <c r="A8" s="184"/>
      <c r="B8" s="184" t="s">
        <v>7734</v>
      </c>
      <c r="C8" s="172">
        <v>0</v>
      </c>
      <c r="D8" s="172">
        <v>0</v>
      </c>
      <c r="E8" s="172">
        <v>0</v>
      </c>
      <c r="F8" s="172">
        <v>0</v>
      </c>
      <c r="G8" s="172">
        <v>650.32000000000005</v>
      </c>
      <c r="H8" s="172">
        <f t="shared" si="0"/>
        <v>650.32000000000005</v>
      </c>
    </row>
    <row r="9" spans="1:9" x14ac:dyDescent="0.25">
      <c r="A9" s="184"/>
      <c r="B9" s="184" t="s">
        <v>251</v>
      </c>
      <c r="C9" s="172">
        <v>0</v>
      </c>
      <c r="D9" s="172">
        <v>0</v>
      </c>
      <c r="E9" s="172">
        <v>0</v>
      </c>
      <c r="F9" s="172">
        <v>0</v>
      </c>
      <c r="G9" s="172">
        <v>0</v>
      </c>
      <c r="H9" s="172">
        <f t="shared" si="0"/>
        <v>0</v>
      </c>
    </row>
    <row r="10" spans="1:9" x14ac:dyDescent="0.25">
      <c r="A10" s="184"/>
      <c r="B10" s="184" t="s">
        <v>7733</v>
      </c>
      <c r="C10" s="172">
        <v>0</v>
      </c>
      <c r="D10" s="172">
        <v>0</v>
      </c>
      <c r="E10" s="172">
        <v>7000</v>
      </c>
      <c r="F10" s="172">
        <v>0</v>
      </c>
      <c r="G10" s="172">
        <v>0</v>
      </c>
      <c r="H10" s="172">
        <f t="shared" si="0"/>
        <v>7000</v>
      </c>
    </row>
    <row r="11" spans="1:9" x14ac:dyDescent="0.25">
      <c r="A11" s="184"/>
      <c r="B11" s="184" t="s">
        <v>7563</v>
      </c>
      <c r="C11" s="172">
        <v>0</v>
      </c>
      <c r="D11" s="172">
        <v>0</v>
      </c>
      <c r="E11" s="172">
        <v>0</v>
      </c>
      <c r="F11" s="172">
        <v>0</v>
      </c>
      <c r="G11" s="172">
        <v>500</v>
      </c>
      <c r="H11" s="172">
        <f t="shared" si="0"/>
        <v>500</v>
      </c>
    </row>
    <row r="12" spans="1:9" x14ac:dyDescent="0.25">
      <c r="A12" s="184"/>
      <c r="B12" s="184" t="s">
        <v>6054</v>
      </c>
      <c r="C12" s="172">
        <v>0</v>
      </c>
      <c r="D12" s="172">
        <v>0</v>
      </c>
      <c r="E12" s="172">
        <v>0</v>
      </c>
      <c r="F12" s="172">
        <v>12000</v>
      </c>
      <c r="G12" s="172">
        <v>0</v>
      </c>
      <c r="H12" s="172">
        <f t="shared" si="0"/>
        <v>12000</v>
      </c>
    </row>
    <row r="13" spans="1:9" x14ac:dyDescent="0.25">
      <c r="A13" s="184"/>
      <c r="B13" s="184" t="s">
        <v>7815</v>
      </c>
      <c r="C13" s="172">
        <v>7500</v>
      </c>
      <c r="D13" s="172">
        <v>0</v>
      </c>
      <c r="E13" s="172">
        <v>0</v>
      </c>
      <c r="F13" s="172">
        <v>0</v>
      </c>
      <c r="G13" s="172">
        <v>0</v>
      </c>
      <c r="H13" s="172">
        <f t="shared" si="0"/>
        <v>7500</v>
      </c>
    </row>
    <row r="14" spans="1:9" x14ac:dyDescent="0.25">
      <c r="A14" s="184"/>
      <c r="B14" s="184" t="s">
        <v>7891</v>
      </c>
      <c r="C14" s="172">
        <v>6000</v>
      </c>
      <c r="D14" s="172">
        <v>0</v>
      </c>
      <c r="E14" s="172">
        <v>0</v>
      </c>
      <c r="F14" s="172">
        <v>0</v>
      </c>
      <c r="G14" s="172">
        <v>0</v>
      </c>
      <c r="H14" s="172">
        <f t="shared" si="0"/>
        <v>6000</v>
      </c>
    </row>
    <row r="15" spans="1:9" x14ac:dyDescent="0.25">
      <c r="A15" s="184"/>
      <c r="B15" s="184" t="s">
        <v>7807</v>
      </c>
      <c r="C15" s="172">
        <v>0</v>
      </c>
      <c r="D15" s="172">
        <v>0</v>
      </c>
      <c r="E15" s="172">
        <v>0</v>
      </c>
      <c r="F15" s="172">
        <v>0</v>
      </c>
      <c r="G15" s="172">
        <v>15000</v>
      </c>
      <c r="H15" s="172">
        <f t="shared" si="0"/>
        <v>15000</v>
      </c>
    </row>
    <row r="16" spans="1:9" x14ac:dyDescent="0.25">
      <c r="A16" s="184"/>
      <c r="B16" s="184" t="s">
        <v>7732</v>
      </c>
      <c r="C16" s="172">
        <v>0</v>
      </c>
      <c r="D16" s="172">
        <v>0</v>
      </c>
      <c r="E16" s="172">
        <v>0</v>
      </c>
      <c r="F16" s="172">
        <v>0</v>
      </c>
      <c r="G16" s="172">
        <v>5000</v>
      </c>
      <c r="H16" s="172">
        <f t="shared" si="0"/>
        <v>5000</v>
      </c>
    </row>
    <row r="17" spans="1:8" x14ac:dyDescent="0.25">
      <c r="A17" s="184"/>
      <c r="B17" s="184" t="s">
        <v>7796</v>
      </c>
      <c r="C17" s="172">
        <v>0</v>
      </c>
      <c r="D17" s="172">
        <v>0</v>
      </c>
      <c r="E17" s="172">
        <v>0</v>
      </c>
      <c r="F17" s="172">
        <v>0</v>
      </c>
      <c r="G17" s="172">
        <v>2000</v>
      </c>
      <c r="H17" s="172">
        <f t="shared" si="0"/>
        <v>2000</v>
      </c>
    </row>
    <row r="18" spans="1:8" x14ac:dyDescent="0.25">
      <c r="A18" s="184"/>
      <c r="B18" s="184" t="s">
        <v>244</v>
      </c>
      <c r="C18" s="172">
        <v>0</v>
      </c>
      <c r="D18" s="172">
        <v>0</v>
      </c>
      <c r="E18" s="172">
        <v>0</v>
      </c>
      <c r="F18" s="172">
        <v>0</v>
      </c>
      <c r="G18" s="172">
        <v>245</v>
      </c>
      <c r="H18" s="172">
        <f t="shared" si="0"/>
        <v>245</v>
      </c>
    </row>
    <row r="19" spans="1:8" x14ac:dyDescent="0.25">
      <c r="A19" s="184"/>
      <c r="B19" s="184" t="s">
        <v>3284</v>
      </c>
      <c r="C19" s="172">
        <v>0</v>
      </c>
      <c r="D19" s="172">
        <v>29750</v>
      </c>
      <c r="E19" s="172">
        <v>0</v>
      </c>
      <c r="F19" s="172">
        <v>0</v>
      </c>
      <c r="G19" s="172">
        <v>0</v>
      </c>
      <c r="H19" s="172">
        <f t="shared" si="0"/>
        <v>29750</v>
      </c>
    </row>
    <row r="20" spans="1:8" x14ac:dyDescent="0.25">
      <c r="A20" s="184"/>
      <c r="B20" s="184" t="s">
        <v>240</v>
      </c>
      <c r="C20" s="172">
        <v>0</v>
      </c>
      <c r="D20" s="172">
        <v>0</v>
      </c>
      <c r="E20" s="172">
        <v>0</v>
      </c>
      <c r="F20" s="172">
        <v>0</v>
      </c>
      <c r="G20" s="172">
        <v>-400</v>
      </c>
      <c r="H20" s="172">
        <f t="shared" si="0"/>
        <v>-400</v>
      </c>
    </row>
    <row r="21" spans="1:8" x14ac:dyDescent="0.25">
      <c r="A21" s="184"/>
      <c r="B21" s="184" t="s">
        <v>7559</v>
      </c>
      <c r="C21" s="172">
        <v>0</v>
      </c>
      <c r="D21" s="172">
        <v>0</v>
      </c>
      <c r="E21" s="172">
        <v>0</v>
      </c>
      <c r="F21" s="172">
        <v>0</v>
      </c>
      <c r="G21" s="172">
        <v>250</v>
      </c>
      <c r="H21" s="172">
        <f t="shared" si="0"/>
        <v>250</v>
      </c>
    </row>
    <row r="22" spans="1:8" x14ac:dyDescent="0.25">
      <c r="A22" s="184"/>
      <c r="B22" s="184" t="s">
        <v>6325</v>
      </c>
      <c r="C22" s="172">
        <v>0</v>
      </c>
      <c r="D22" s="172">
        <v>0</v>
      </c>
      <c r="E22" s="172">
        <v>0</v>
      </c>
      <c r="F22" s="172">
        <v>0</v>
      </c>
      <c r="G22" s="172">
        <v>24999</v>
      </c>
      <c r="H22" s="172">
        <f t="shared" si="0"/>
        <v>24999</v>
      </c>
    </row>
    <row r="23" spans="1:8" x14ac:dyDescent="0.25">
      <c r="A23" s="184"/>
      <c r="B23" s="184" t="s">
        <v>7892</v>
      </c>
      <c r="C23" s="172">
        <v>10000</v>
      </c>
      <c r="D23" s="172">
        <v>0</v>
      </c>
      <c r="E23" s="172">
        <v>0</v>
      </c>
      <c r="F23" s="172">
        <v>0</v>
      </c>
      <c r="G23" s="172">
        <v>0</v>
      </c>
      <c r="H23" s="172">
        <f t="shared" si="0"/>
        <v>10000</v>
      </c>
    </row>
    <row r="24" spans="1:8" x14ac:dyDescent="0.25">
      <c r="A24" s="184"/>
      <c r="B24" s="184" t="s">
        <v>7809</v>
      </c>
      <c r="C24" s="172">
        <v>0</v>
      </c>
      <c r="D24" s="172">
        <v>0</v>
      </c>
      <c r="E24" s="172">
        <v>0</v>
      </c>
      <c r="F24" s="172">
        <v>0</v>
      </c>
      <c r="G24" s="172">
        <v>15000</v>
      </c>
      <c r="H24" s="172">
        <f t="shared" si="0"/>
        <v>15000</v>
      </c>
    </row>
    <row r="25" spans="1:8" x14ac:dyDescent="0.25">
      <c r="A25" s="184"/>
      <c r="B25" s="184" t="s">
        <v>7481</v>
      </c>
      <c r="C25" s="172">
        <v>0</v>
      </c>
      <c r="D25" s="172">
        <v>0</v>
      </c>
      <c r="E25" s="172">
        <v>0</v>
      </c>
      <c r="F25" s="172">
        <v>0</v>
      </c>
      <c r="G25" s="172">
        <v>2000</v>
      </c>
      <c r="H25" s="172">
        <f t="shared" si="0"/>
        <v>2000</v>
      </c>
    </row>
    <row r="26" spans="1:8" x14ac:dyDescent="0.25">
      <c r="A26" s="184"/>
      <c r="B26" s="184" t="s">
        <v>7797</v>
      </c>
      <c r="C26" s="172">
        <v>0</v>
      </c>
      <c r="D26" s="172">
        <v>0</v>
      </c>
      <c r="E26" s="172">
        <v>0</v>
      </c>
      <c r="F26" s="172">
        <v>0</v>
      </c>
      <c r="G26" s="172">
        <v>800</v>
      </c>
      <c r="H26" s="172">
        <f t="shared" si="0"/>
        <v>800</v>
      </c>
    </row>
    <row r="27" spans="1:8" ht="15.75" thickBot="1" x14ac:dyDescent="0.3">
      <c r="A27" s="184"/>
      <c r="B27" s="184" t="s">
        <v>7731</v>
      </c>
      <c r="C27" s="172">
        <v>0</v>
      </c>
      <c r="D27" s="172">
        <v>0</v>
      </c>
      <c r="E27" s="172">
        <v>0</v>
      </c>
      <c r="F27" s="172">
        <v>0</v>
      </c>
      <c r="G27" s="172">
        <v>5000</v>
      </c>
      <c r="H27" s="172">
        <f t="shared" si="0"/>
        <v>5000</v>
      </c>
    </row>
    <row r="28" spans="1:8" ht="15.75" thickBot="1" x14ac:dyDescent="0.3">
      <c r="A28" s="184" t="s">
        <v>2</v>
      </c>
      <c r="B28" s="184"/>
      <c r="C28" s="174">
        <f>ROUND(SUM(C2:C27),5)</f>
        <v>49000</v>
      </c>
      <c r="D28" s="174">
        <f>ROUND(SUM(D2:D27),5)</f>
        <v>29750</v>
      </c>
      <c r="E28" s="174">
        <f>ROUND(SUM(E2:E27),5)</f>
        <v>7000</v>
      </c>
      <c r="F28" s="174">
        <f>ROUND(SUM(F2:F27),5)</f>
        <v>12000</v>
      </c>
      <c r="G28" s="174">
        <f>ROUND(SUM(G2:G27),5)</f>
        <v>18899.05</v>
      </c>
      <c r="H28" s="174">
        <f t="shared" si="0"/>
        <v>116649.05</v>
      </c>
    </row>
    <row r="29" spans="1:8" ht="15.75" thickTop="1" x14ac:dyDescent="0.25"/>
  </sheetData>
  <hyperlinks>
    <hyperlink ref="I1" location="Contents!A1" display="Contents" xr:uid="{B1CBA141-369D-4FB1-8433-D52C64072008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0593" r:id="rId4" name="FILTER"/>
      </mc:Fallback>
    </mc:AlternateContent>
    <mc:AlternateContent xmlns:mc="http://schemas.openxmlformats.org/markup-compatibility/2006">
      <mc:Choice Requires="x14">
        <control shapeId="11059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0594" r:id="rId6" name="HEAD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5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7697</v>
      </c>
      <c r="U3" s="9" t="s">
        <v>7715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123</v>
      </c>
      <c r="E10" s="5"/>
      <c r="F10" s="69">
        <f>'[3]21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124</v>
      </c>
      <c r="F11" s="69">
        <f>'[3]21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125</v>
      </c>
      <c r="F12" s="69">
        <f>'[3]21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126</v>
      </c>
      <c r="D13" s="5"/>
      <c r="E13" s="5"/>
      <c r="F13" s="69">
        <f>'[3]21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127</v>
      </c>
      <c r="E14" s="5"/>
      <c r="F14" s="69">
        <f>'[3]21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128</v>
      </c>
      <c r="E15" s="5"/>
      <c r="F15" s="69">
        <f>'[3]21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129</v>
      </c>
      <c r="E16" s="5"/>
      <c r="F16" s="69">
        <f>'[3]21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130</v>
      </c>
      <c r="E17" s="5"/>
      <c r="F17" s="69">
        <f>'[3]21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131</v>
      </c>
      <c r="C18" s="5"/>
      <c r="D18" s="5"/>
      <c r="E18" s="5"/>
      <c r="F18" s="69">
        <f>'[3]21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132</v>
      </c>
      <c r="C19" s="5"/>
      <c r="D19" s="5"/>
      <c r="E19" s="5"/>
      <c r="F19" s="69">
        <f>'[3]21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133</v>
      </c>
      <c r="C20" s="5"/>
      <c r="D20" s="5"/>
      <c r="E20" s="5"/>
      <c r="F20" s="69">
        <f>'[3]21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134</v>
      </c>
      <c r="C21" s="5"/>
      <c r="D21" s="5"/>
      <c r="E21" s="5"/>
      <c r="F21" s="69">
        <f>'[3]21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135</v>
      </c>
      <c r="C23" s="5"/>
      <c r="D23" s="5"/>
      <c r="E23" s="5"/>
      <c r="F23" s="69">
        <f>'[3]21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9">
        <f>'[3]21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9">
        <f>'[3]21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136</v>
      </c>
      <c r="C26" s="5"/>
      <c r="D26" s="5"/>
      <c r="E26" s="5"/>
      <c r="F26" s="69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9">
        <f>'[3]21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9">
        <f>'[3]21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138</v>
      </c>
      <c r="C30" s="5"/>
      <c r="D30" s="5"/>
      <c r="E30" s="5"/>
      <c r="F30" s="69">
        <f>'[3]21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139</v>
      </c>
      <c r="C31" s="5"/>
      <c r="D31" s="5"/>
      <c r="E31" s="17"/>
      <c r="F31" s="69">
        <f>'[3]21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141</v>
      </c>
      <c r="F38" s="67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142</v>
      </c>
      <c r="D39" s="14"/>
      <c r="E39" s="14"/>
      <c r="F39" s="67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144</v>
      </c>
      <c r="D41" s="5"/>
      <c r="E41" s="5"/>
      <c r="F41" s="67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145</v>
      </c>
      <c r="D42" s="5"/>
      <c r="E42" s="5"/>
      <c r="F42" s="67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146</v>
      </c>
      <c r="D43" s="5"/>
      <c r="E43" s="5"/>
      <c r="F43" s="67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147</v>
      </c>
      <c r="E44" s="5"/>
      <c r="F44" s="67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148</v>
      </c>
      <c r="E45" s="5"/>
      <c r="F45" s="67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149</v>
      </c>
      <c r="E46" s="5"/>
      <c r="F46" s="67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123</v>
      </c>
      <c r="D47" s="5"/>
      <c r="E47" s="5"/>
      <c r="F47" s="67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153</v>
      </c>
      <c r="C55" s="5"/>
      <c r="D55" s="5"/>
      <c r="E55" s="5"/>
      <c r="F55" s="67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154</v>
      </c>
      <c r="D56" s="5"/>
      <c r="E56" s="5"/>
      <c r="F56" s="67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155</v>
      </c>
      <c r="D57" s="5"/>
      <c r="E57" s="5"/>
      <c r="F57" s="67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156</v>
      </c>
      <c r="D58" s="5"/>
      <c r="E58" s="5"/>
      <c r="F58" s="67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157</v>
      </c>
      <c r="D59" s="5"/>
      <c r="E59" s="5"/>
      <c r="F59" s="67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158</v>
      </c>
      <c r="D61" s="5"/>
      <c r="E61" s="5"/>
      <c r="F61" s="67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159</v>
      </c>
      <c r="D62" s="5"/>
      <c r="E62" s="5"/>
      <c r="F62" s="67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160</v>
      </c>
      <c r="D63" s="5"/>
      <c r="E63" s="5"/>
      <c r="F63" s="67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144</v>
      </c>
      <c r="D64" s="5"/>
      <c r="E64" s="5"/>
      <c r="F64" s="67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161</v>
      </c>
      <c r="D65" s="5"/>
      <c r="E65" s="5"/>
      <c r="F65" s="67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7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162</v>
      </c>
      <c r="C67" s="5"/>
      <c r="D67" s="5"/>
      <c r="E67" s="5"/>
      <c r="F67" s="67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163</v>
      </c>
      <c r="D68" s="5"/>
      <c r="E68" s="5"/>
      <c r="F68" s="67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156</v>
      </c>
      <c r="D70" s="5"/>
      <c r="E70" s="5"/>
      <c r="F70" s="67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165</v>
      </c>
      <c r="D71" s="5"/>
      <c r="E71" s="5"/>
      <c r="F71" s="67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158</v>
      </c>
      <c r="D72" s="5"/>
      <c r="E72" s="5"/>
      <c r="F72" s="67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159</v>
      </c>
      <c r="D73" s="5"/>
      <c r="E73" s="5"/>
      <c r="F73" s="67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144</v>
      </c>
      <c r="D75" s="5"/>
      <c r="E75" s="5"/>
      <c r="F75" s="67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166</v>
      </c>
      <c r="D76" s="5"/>
      <c r="E76" s="5"/>
      <c r="F76" s="67">
        <f>'[3]21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167</v>
      </c>
      <c r="D77" s="5"/>
      <c r="E77" s="5"/>
      <c r="F77" s="67">
        <f>'[3]21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168</v>
      </c>
      <c r="D78" s="5"/>
      <c r="E78" s="5"/>
      <c r="F78" s="67">
        <f>'[3]21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169</v>
      </c>
      <c r="D79" s="5"/>
      <c r="E79" s="5"/>
      <c r="F79" s="67">
        <f>'[3]21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170</v>
      </c>
      <c r="D80" s="5"/>
      <c r="E80" s="5"/>
      <c r="F80" s="67">
        <f>'[3]21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171</v>
      </c>
      <c r="D81" s="5"/>
      <c r="E81" s="5"/>
      <c r="F81" s="67">
        <f>'[3]21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7">
        <f>'[3]21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172</v>
      </c>
      <c r="C83" s="5"/>
      <c r="D83" s="5"/>
      <c r="E83" s="5"/>
      <c r="F83" s="67">
        <f>'[3]21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156</v>
      </c>
      <c r="D84" s="5"/>
      <c r="E84" s="5"/>
      <c r="F84" s="67">
        <f>'[3]21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140</v>
      </c>
      <c r="D85" s="5"/>
      <c r="E85" s="5"/>
      <c r="F85" s="67">
        <f>'[3]21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158</v>
      </c>
      <c r="D86" s="5"/>
      <c r="E86" s="5"/>
      <c r="F86" s="67">
        <f>'[3]21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159</v>
      </c>
      <c r="D88" s="5"/>
      <c r="E88" s="5"/>
      <c r="F88" s="67">
        <f>'[3]21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174</v>
      </c>
      <c r="D89" s="5"/>
      <c r="E89" s="5"/>
      <c r="F89" s="67">
        <f>'[3]21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144</v>
      </c>
      <c r="D90" s="5"/>
      <c r="E90" s="5"/>
      <c r="F90" s="67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175</v>
      </c>
      <c r="D91" s="5"/>
      <c r="E91" s="5"/>
      <c r="F91" s="67">
        <f>'[3]21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176</v>
      </c>
      <c r="D92" s="5"/>
      <c r="E92" s="5"/>
      <c r="F92" s="67">
        <f>'[3]21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7">
        <f>'[3]21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177</v>
      </c>
      <c r="C94" s="5"/>
      <c r="D94" s="5"/>
      <c r="E94" s="5"/>
      <c r="F94" s="67">
        <f>'[3]21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156</v>
      </c>
      <c r="D95" s="5"/>
      <c r="E95" s="5"/>
      <c r="F95" s="67">
        <f>'[3]21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140</v>
      </c>
      <c r="D96" s="5"/>
      <c r="E96" s="5"/>
      <c r="F96" s="67">
        <f>'[3]21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158</v>
      </c>
      <c r="D97" s="5"/>
      <c r="E97" s="5"/>
      <c r="F97" s="67">
        <f>'[3]21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159</v>
      </c>
      <c r="D98" s="5"/>
      <c r="E98" s="5"/>
      <c r="F98" s="67">
        <f>'[3]21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160</v>
      </c>
      <c r="D99" s="5"/>
      <c r="E99" s="5"/>
      <c r="F99" s="67">
        <f>'[3]21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144</v>
      </c>
      <c r="D100" s="5"/>
      <c r="E100" s="5"/>
      <c r="F100" s="67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175</v>
      </c>
      <c r="D101" s="5"/>
      <c r="E101" s="5"/>
      <c r="F101" s="67">
        <f>'[3]21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178</v>
      </c>
      <c r="D102" s="5"/>
      <c r="E102" s="5"/>
      <c r="F102" s="67">
        <f>'[3]21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7">
        <f>'[3]21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179</v>
      </c>
      <c r="C104" s="5"/>
      <c r="D104" s="5"/>
      <c r="E104" s="5"/>
      <c r="F104" s="67">
        <f>'[3]21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156</v>
      </c>
      <c r="D105" s="5"/>
      <c r="E105" s="5"/>
      <c r="F105" s="67">
        <f>'[3]21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140</v>
      </c>
      <c r="D106" s="5"/>
      <c r="E106" s="5"/>
      <c r="F106" s="67">
        <f>'[3]21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158</v>
      </c>
      <c r="D107" s="5"/>
      <c r="E107" s="5"/>
      <c r="F107" s="67">
        <f>'[3]21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159</v>
      </c>
      <c r="D108" s="5"/>
      <c r="E108" s="5"/>
      <c r="F108" s="67">
        <f>'[3]21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160</v>
      </c>
      <c r="D109" s="5"/>
      <c r="E109" s="5"/>
      <c r="F109" s="67">
        <f>'[3]21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144</v>
      </c>
      <c r="D110" s="5"/>
      <c r="E110" s="5"/>
      <c r="F110" s="67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180</v>
      </c>
      <c r="D111" s="5"/>
      <c r="E111" s="5"/>
      <c r="F111" s="67">
        <f>'[3]21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7">
        <f>'[3]21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181</v>
      </c>
      <c r="C113" s="5"/>
      <c r="D113" s="5"/>
      <c r="E113" s="5"/>
      <c r="F113" s="67">
        <f>'[3]21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182</v>
      </c>
      <c r="C114" s="5"/>
      <c r="D114" s="5"/>
      <c r="E114" s="5"/>
      <c r="F114" s="67">
        <f>'[3]21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183</v>
      </c>
      <c r="E115" s="5"/>
      <c r="F115" s="67">
        <f>'[3]21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184</v>
      </c>
      <c r="E116" s="5"/>
      <c r="F116" s="67">
        <f>'[3]21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185</v>
      </c>
      <c r="E117" s="5"/>
      <c r="F117" s="67">
        <f>'[3]21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186</v>
      </c>
      <c r="E118" s="5"/>
      <c r="F118" s="67">
        <f>'[3]21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187</v>
      </c>
      <c r="C119" s="5"/>
      <c r="D119" s="5"/>
      <c r="E119" s="5"/>
      <c r="F119" s="67">
        <f>'[3]21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188</v>
      </c>
      <c r="D120" s="5"/>
      <c r="E120" s="5"/>
      <c r="F120" s="67">
        <f>'[3]21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189</v>
      </c>
      <c r="C121" s="5"/>
      <c r="D121" s="5"/>
      <c r="E121" s="5"/>
      <c r="F121" s="67">
        <f>'[3]21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190</v>
      </c>
      <c r="E122" s="5"/>
      <c r="F122" s="67">
        <f>'[3]21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191</v>
      </c>
      <c r="E123" s="5"/>
      <c r="F123" s="67">
        <f>'[3]21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192</v>
      </c>
      <c r="C124" s="5"/>
      <c r="E124" s="5"/>
      <c r="F124" s="67">
        <f>'[3]21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7">
        <f>'[3]21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193</v>
      </c>
      <c r="C126" s="5"/>
      <c r="D126" s="5"/>
      <c r="E126" s="5"/>
      <c r="F126" s="67">
        <f>'[3]21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194</v>
      </c>
      <c r="C127" s="20"/>
      <c r="D127" s="20"/>
      <c r="E127" s="20"/>
      <c r="F127" s="67">
        <f>'[3]21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195</v>
      </c>
      <c r="C128" s="20"/>
      <c r="D128" s="20"/>
      <c r="E128" s="20"/>
      <c r="F128" s="67">
        <f>'[3]21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40625" defaultRowHeight="15.75" x14ac:dyDescent="0.25"/>
  <cols>
    <col min="1" max="5" width="3" style="50" customWidth="1"/>
    <col min="6" max="6" width="35.85546875" style="50" customWidth="1"/>
    <col min="7" max="7" width="2.28515625" style="50" customWidth="1"/>
    <col min="8" max="8" width="12.7109375" style="50" bestFit="1" customWidth="1"/>
    <col min="9" max="9" width="17.140625" style="50" customWidth="1"/>
    <col min="10" max="10" width="86.28515625" style="50" customWidth="1"/>
    <col min="11" max="11" width="42.7109375" style="50" customWidth="1"/>
    <col min="12" max="12" width="11" style="50" bestFit="1" customWidth="1"/>
    <col min="13" max="15" width="12.28515625" style="50" bestFit="1" customWidth="1"/>
    <col min="16" max="16" width="11.7109375" style="50" bestFit="1" customWidth="1"/>
    <col min="17" max="16384" width="9.140625" style="50"/>
  </cols>
  <sheetData>
    <row r="1" spans="1:16" s="150" customFormat="1" ht="16.5" thickBot="1" x14ac:dyDescent="0.3">
      <c r="A1" s="147"/>
      <c r="B1" s="147"/>
      <c r="C1" s="147"/>
      <c r="D1" s="147"/>
      <c r="E1" s="147"/>
      <c r="F1" s="148" t="s">
        <v>7822</v>
      </c>
      <c r="G1" s="147"/>
      <c r="H1" s="149" t="s">
        <v>5921</v>
      </c>
      <c r="I1" s="149" t="s">
        <v>5919</v>
      </c>
      <c r="J1" s="149" t="s">
        <v>5918</v>
      </c>
      <c r="K1" s="149" t="s">
        <v>7588</v>
      </c>
      <c r="L1" s="149" t="s">
        <v>7589</v>
      </c>
      <c r="M1" s="149" t="s">
        <v>1191</v>
      </c>
      <c r="N1" s="149" t="s">
        <v>7590</v>
      </c>
      <c r="O1" s="150" t="s">
        <v>7823</v>
      </c>
      <c r="P1" s="150" t="s">
        <v>226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51"/>
      <c r="I2" s="159" t="s">
        <v>224</v>
      </c>
      <c r="J2" s="36"/>
      <c r="K2" s="36"/>
      <c r="L2" s="152"/>
      <c r="M2" s="152"/>
      <c r="N2" s="152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51"/>
      <c r="I3" s="36"/>
      <c r="J3" s="36"/>
      <c r="K3" s="36"/>
      <c r="L3" s="152"/>
      <c r="M3" s="152"/>
      <c r="N3" s="152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51"/>
      <c r="I4" s="36"/>
      <c r="J4" s="36"/>
      <c r="K4" s="36"/>
      <c r="L4" s="152"/>
      <c r="M4" s="152"/>
      <c r="N4" s="152"/>
    </row>
    <row r="5" spans="1:16" x14ac:dyDescent="0.25">
      <c r="A5" s="36"/>
      <c r="B5" s="36"/>
      <c r="C5" s="36"/>
      <c r="D5" s="36"/>
      <c r="E5" s="36"/>
      <c r="F5" s="36" t="s">
        <v>7477</v>
      </c>
      <c r="G5" s="36"/>
      <c r="H5" s="151"/>
      <c r="I5" s="36"/>
      <c r="J5" s="36"/>
      <c r="K5" s="36"/>
      <c r="L5" s="152"/>
      <c r="M5" s="152"/>
      <c r="N5" s="152"/>
    </row>
    <row r="6" spans="1:16" ht="16.5" thickBot="1" x14ac:dyDescent="0.3">
      <c r="A6" s="153"/>
      <c r="B6" s="153"/>
      <c r="C6" s="153"/>
      <c r="D6" s="153"/>
      <c r="E6" s="153"/>
      <c r="F6" s="153"/>
      <c r="G6" s="154"/>
      <c r="H6" s="155">
        <v>44742</v>
      </c>
      <c r="I6" s="154"/>
      <c r="J6" s="154" t="s">
        <v>7824</v>
      </c>
      <c r="K6" s="154" t="s">
        <v>7825</v>
      </c>
      <c r="L6" s="42"/>
      <c r="M6" s="42">
        <v>253042.53</v>
      </c>
      <c r="N6" s="42">
        <v>253042.53</v>
      </c>
      <c r="O6" s="156"/>
      <c r="P6" s="156"/>
    </row>
    <row r="7" spans="1:16" ht="16.5" thickBot="1" x14ac:dyDescent="0.3">
      <c r="A7" s="154"/>
      <c r="B7" s="154"/>
      <c r="C7" s="154"/>
      <c r="D7" s="154"/>
      <c r="E7" s="154"/>
      <c r="F7" s="154" t="s">
        <v>7826</v>
      </c>
      <c r="G7" s="154"/>
      <c r="H7" s="155"/>
      <c r="I7" s="154"/>
      <c r="J7" s="154"/>
      <c r="K7" s="154"/>
      <c r="L7" s="157">
        <f>ROUND(SUM(L5:L6),5)</f>
        <v>0</v>
      </c>
      <c r="M7" s="157">
        <f>ROUND(SUM(M5:M6),5)</f>
        <v>253042.53</v>
      </c>
      <c r="N7" s="157">
        <f>N6</f>
        <v>253042.53</v>
      </c>
      <c r="O7" s="156"/>
      <c r="P7" s="156"/>
    </row>
    <row r="8" spans="1:16" ht="16.5" thickBot="1" x14ac:dyDescent="0.3">
      <c r="A8" s="154"/>
      <c r="B8" s="154"/>
      <c r="C8" s="154"/>
      <c r="D8" s="154"/>
      <c r="E8" s="154" t="s">
        <v>8</v>
      </c>
      <c r="F8" s="154"/>
      <c r="G8" s="154"/>
      <c r="H8" s="155"/>
      <c r="I8" s="154"/>
      <c r="J8" s="154"/>
      <c r="K8" s="154"/>
      <c r="L8" s="157">
        <f t="shared" ref="L8:M10" si="0">L7</f>
        <v>0</v>
      </c>
      <c r="M8" s="157">
        <f t="shared" si="0"/>
        <v>253042.53</v>
      </c>
      <c r="N8" s="157">
        <f>N7</f>
        <v>253042.53</v>
      </c>
      <c r="O8" s="156"/>
      <c r="P8" s="156"/>
    </row>
    <row r="9" spans="1:16" ht="16.5" thickBot="1" x14ac:dyDescent="0.3">
      <c r="A9" s="154"/>
      <c r="B9" s="154"/>
      <c r="C9" s="154"/>
      <c r="D9" s="154" t="s">
        <v>17</v>
      </c>
      <c r="E9" s="154"/>
      <c r="F9" s="154"/>
      <c r="G9" s="154"/>
      <c r="H9" s="155"/>
      <c r="I9" s="154"/>
      <c r="J9" s="154"/>
      <c r="K9" s="154"/>
      <c r="L9" s="158">
        <f t="shared" si="0"/>
        <v>0</v>
      </c>
      <c r="M9" s="158">
        <f t="shared" si="0"/>
        <v>253042.53</v>
      </c>
      <c r="N9" s="158">
        <f>N8</f>
        <v>253042.53</v>
      </c>
      <c r="O9" s="156"/>
      <c r="P9" s="156"/>
    </row>
    <row r="10" spans="1:16" x14ac:dyDescent="0.25">
      <c r="A10" s="154"/>
      <c r="B10" s="154"/>
      <c r="C10" s="154" t="s">
        <v>18</v>
      </c>
      <c r="D10" s="154"/>
      <c r="E10" s="154"/>
      <c r="F10" s="154"/>
      <c r="G10" s="154"/>
      <c r="H10" s="155"/>
      <c r="I10" s="154"/>
      <c r="J10" s="154"/>
      <c r="K10" s="154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56">
        <v>300000</v>
      </c>
      <c r="P10" s="156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51"/>
      <c r="I11" s="36"/>
      <c r="J11" s="36"/>
      <c r="K11" s="36"/>
      <c r="L11" s="46"/>
      <c r="M11" s="46"/>
      <c r="N11" s="46"/>
      <c r="O11" s="156"/>
      <c r="P11" s="156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51"/>
      <c r="I12" s="36"/>
      <c r="J12" s="36"/>
      <c r="K12" s="36"/>
      <c r="L12" s="46"/>
      <c r="M12" s="46"/>
      <c r="N12" s="46"/>
      <c r="O12" s="156"/>
      <c r="P12" s="156"/>
    </row>
    <row r="13" spans="1:16" ht="16.5" thickBot="1" x14ac:dyDescent="0.3">
      <c r="A13" s="153"/>
      <c r="B13" s="153"/>
      <c r="C13" s="153"/>
      <c r="D13" s="153"/>
      <c r="E13" s="153"/>
      <c r="F13" s="153"/>
      <c r="G13" s="154"/>
      <c r="H13" s="155">
        <v>44742</v>
      </c>
      <c r="I13" s="154"/>
      <c r="J13" s="154" t="s">
        <v>7827</v>
      </c>
      <c r="K13" s="154" t="s">
        <v>7825</v>
      </c>
      <c r="L13" s="45">
        <v>28548</v>
      </c>
      <c r="M13" s="45"/>
      <c r="N13" s="45">
        <v>28548</v>
      </c>
      <c r="O13" s="156"/>
      <c r="P13" s="156"/>
    </row>
    <row r="14" spans="1:16" x14ac:dyDescent="0.25">
      <c r="A14" s="154"/>
      <c r="B14" s="154"/>
      <c r="C14" s="154"/>
      <c r="D14" s="154"/>
      <c r="E14" s="154" t="s">
        <v>35</v>
      </c>
      <c r="F14" s="154"/>
      <c r="G14" s="154"/>
      <c r="H14" s="155"/>
      <c r="I14" s="154"/>
      <c r="J14" s="154"/>
      <c r="K14" s="154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56"/>
      <c r="P14" s="156"/>
    </row>
    <row r="15" spans="1:16" x14ac:dyDescent="0.25">
      <c r="A15" s="36"/>
      <c r="B15" s="36"/>
      <c r="C15" s="36"/>
      <c r="D15" s="36"/>
      <c r="E15" s="36" t="s">
        <v>7465</v>
      </c>
      <c r="F15" s="36"/>
      <c r="G15" s="36"/>
      <c r="H15" s="151"/>
      <c r="I15" s="36"/>
      <c r="J15" s="36"/>
      <c r="K15" s="36"/>
      <c r="L15" s="46"/>
      <c r="M15" s="46"/>
      <c r="N15" s="46"/>
      <c r="O15" s="156"/>
      <c r="P15" s="156"/>
    </row>
    <row r="16" spans="1:16" x14ac:dyDescent="0.25">
      <c r="A16" s="153"/>
      <c r="B16" s="153"/>
      <c r="C16" s="153"/>
      <c r="D16" s="153"/>
      <c r="E16" s="153"/>
      <c r="F16" s="153"/>
      <c r="G16" s="154"/>
      <c r="H16" s="155">
        <v>44729</v>
      </c>
      <c r="I16" s="154" t="s">
        <v>7821</v>
      </c>
      <c r="J16" s="154" t="s">
        <v>7828</v>
      </c>
      <c r="K16" s="154" t="s">
        <v>7825</v>
      </c>
      <c r="L16" s="165">
        <v>1010</v>
      </c>
      <c r="M16" s="165"/>
      <c r="N16" s="165">
        <v>1010</v>
      </c>
      <c r="O16" s="156"/>
      <c r="P16" s="156"/>
    </row>
    <row r="17" spans="1:16" x14ac:dyDescent="0.25">
      <c r="A17" s="154"/>
      <c r="B17" s="154"/>
      <c r="C17" s="154"/>
      <c r="D17" s="154"/>
      <c r="E17" s="154" t="s">
        <v>7829</v>
      </c>
      <c r="F17" s="154"/>
      <c r="G17" s="154"/>
      <c r="H17" s="155"/>
      <c r="I17" s="154"/>
      <c r="J17" s="154"/>
      <c r="K17" s="154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56"/>
      <c r="P17" s="156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51"/>
      <c r="I18" s="36"/>
      <c r="J18" s="36"/>
      <c r="K18" s="36"/>
      <c r="L18" s="46"/>
      <c r="M18" s="46"/>
      <c r="N18" s="46"/>
      <c r="O18" s="156"/>
      <c r="P18" s="156"/>
    </row>
    <row r="19" spans="1:16" x14ac:dyDescent="0.25">
      <c r="A19" s="36"/>
      <c r="B19" s="36"/>
      <c r="C19" s="36"/>
      <c r="D19" s="36"/>
      <c r="E19" s="36"/>
      <c r="F19" s="36" t="s">
        <v>7712</v>
      </c>
      <c r="G19" s="36"/>
      <c r="H19" s="151"/>
      <c r="I19" s="36"/>
      <c r="J19" s="36"/>
      <c r="K19" s="36"/>
      <c r="L19" s="46"/>
      <c r="M19" s="46"/>
      <c r="N19" s="46"/>
      <c r="O19" s="156"/>
      <c r="P19" s="156"/>
    </row>
    <row r="20" spans="1:16" x14ac:dyDescent="0.25">
      <c r="A20" s="154"/>
      <c r="B20" s="154"/>
      <c r="C20" s="154"/>
      <c r="D20" s="154"/>
      <c r="E20" s="154"/>
      <c r="F20" s="154"/>
      <c r="G20" s="154"/>
      <c r="H20" s="155">
        <v>44649</v>
      </c>
      <c r="I20" s="154" t="s">
        <v>2385</v>
      </c>
      <c r="J20" s="154" t="s">
        <v>7830</v>
      </c>
      <c r="K20" s="154" t="s">
        <v>7825</v>
      </c>
      <c r="L20" s="42">
        <v>224.56</v>
      </c>
      <c r="M20" s="42"/>
      <c r="N20" s="42">
        <v>224.56</v>
      </c>
      <c r="O20" s="156"/>
      <c r="P20" s="156"/>
    </row>
    <row r="21" spans="1:16" ht="16.5" thickBot="1" x14ac:dyDescent="0.3">
      <c r="A21" s="154"/>
      <c r="B21" s="154"/>
      <c r="C21" s="154"/>
      <c r="D21" s="154"/>
      <c r="E21" s="154"/>
      <c r="F21" s="154"/>
      <c r="G21" s="154"/>
      <c r="H21" s="155">
        <v>44687</v>
      </c>
      <c r="I21" s="154" t="s">
        <v>2385</v>
      </c>
      <c r="J21" s="154" t="s">
        <v>7831</v>
      </c>
      <c r="K21" s="154" t="s">
        <v>7825</v>
      </c>
      <c r="L21" s="42"/>
      <c r="M21" s="42">
        <v>11.19</v>
      </c>
      <c r="N21" s="42">
        <v>213.37</v>
      </c>
      <c r="O21" s="156"/>
      <c r="P21" s="156"/>
    </row>
    <row r="22" spans="1:16" ht="16.5" thickBot="1" x14ac:dyDescent="0.3">
      <c r="A22" s="154"/>
      <c r="B22" s="154"/>
      <c r="C22" s="154"/>
      <c r="D22" s="154"/>
      <c r="E22" s="154"/>
      <c r="F22" s="154" t="s">
        <v>7832</v>
      </c>
      <c r="G22" s="154"/>
      <c r="H22" s="155"/>
      <c r="I22" s="154"/>
      <c r="J22" s="154"/>
      <c r="K22" s="154"/>
      <c r="L22" s="157">
        <f>ROUND(SUM(L19:L21),5)</f>
        <v>224.56</v>
      </c>
      <c r="M22" s="157">
        <f>ROUND(SUM(M19:M21),5)</f>
        <v>11.19</v>
      </c>
      <c r="N22" s="157">
        <f>N21</f>
        <v>213.37</v>
      </c>
      <c r="O22" s="156"/>
      <c r="P22" s="156"/>
    </row>
    <row r="23" spans="1:16" ht="16.5" thickBot="1" x14ac:dyDescent="0.3">
      <c r="A23" s="154"/>
      <c r="B23" s="154"/>
      <c r="C23" s="154"/>
      <c r="D23" s="154"/>
      <c r="E23" s="154" t="s">
        <v>45</v>
      </c>
      <c r="F23" s="154"/>
      <c r="G23" s="154"/>
      <c r="H23" s="155"/>
      <c r="I23" s="154"/>
      <c r="J23" s="154"/>
      <c r="K23" s="154"/>
      <c r="L23" s="157">
        <f>L22</f>
        <v>224.56</v>
      </c>
      <c r="M23" s="157">
        <f>M22</f>
        <v>11.19</v>
      </c>
      <c r="N23" s="157">
        <f>N22</f>
        <v>213.37</v>
      </c>
      <c r="O23" s="156"/>
      <c r="P23" s="156"/>
    </row>
    <row r="24" spans="1:16" ht="16.5" thickBot="1" x14ac:dyDescent="0.3">
      <c r="A24" s="154"/>
      <c r="B24" s="154"/>
      <c r="C24" s="154"/>
      <c r="D24" s="154" t="s">
        <v>47</v>
      </c>
      <c r="E24" s="154"/>
      <c r="F24" s="154"/>
      <c r="G24" s="154"/>
      <c r="H24" s="155"/>
      <c r="I24" s="154"/>
      <c r="J24" s="154"/>
      <c r="K24" s="154"/>
      <c r="L24" s="157">
        <f>ROUND(L14+L17+L23,5)</f>
        <v>29782.560000000001</v>
      </c>
      <c r="M24" s="157">
        <f>ROUND(M14+M17+M23,5)</f>
        <v>11.19</v>
      </c>
      <c r="N24" s="157">
        <f>ROUND(N14+N17+N23,5)</f>
        <v>29771.37</v>
      </c>
      <c r="O24" s="156">
        <v>50000</v>
      </c>
      <c r="P24" s="156">
        <f>N24-O24</f>
        <v>-20228.63</v>
      </c>
    </row>
    <row r="25" spans="1:16" ht="16.5" thickBot="1" x14ac:dyDescent="0.3">
      <c r="A25" s="154"/>
      <c r="B25" s="154" t="s">
        <v>48</v>
      </c>
      <c r="C25" s="154"/>
      <c r="D25" s="154"/>
      <c r="E25" s="154"/>
      <c r="F25" s="154"/>
      <c r="G25" s="154"/>
      <c r="H25" s="155"/>
      <c r="I25" s="154"/>
      <c r="J25" s="154"/>
      <c r="K25" s="154"/>
      <c r="L25" s="157">
        <f>ROUND(L10+L24,5)</f>
        <v>29782.560000000001</v>
      </c>
      <c r="M25" s="157">
        <f>ROUND(M10+M24,5)</f>
        <v>253053.72</v>
      </c>
      <c r="N25" s="157">
        <f>ROUND(N10-N24,5)</f>
        <v>223271.16</v>
      </c>
      <c r="O25" s="156"/>
      <c r="P25" s="156"/>
    </row>
    <row r="26" spans="1:16" s="49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51"/>
      <c r="I26" s="36"/>
      <c r="J26" s="36"/>
      <c r="K26" s="36"/>
      <c r="L26" s="144">
        <f>L25</f>
        <v>29782.560000000001</v>
      </c>
      <c r="M26" s="144">
        <f>M25</f>
        <v>253053.72</v>
      </c>
      <c r="N26" s="144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56"/>
      <c r="M27" s="156"/>
      <c r="N27" s="156"/>
      <c r="O27" s="156"/>
      <c r="P27" s="156"/>
    </row>
    <row r="28" spans="1:16" x14ac:dyDescent="0.25">
      <c r="L28" s="156"/>
      <c r="M28" s="156"/>
      <c r="N28" s="156"/>
      <c r="O28" s="156"/>
      <c r="P28" s="156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/>
  </sheetViews>
  <sheetFormatPr defaultColWidth="14.42578125" defaultRowHeight="15" x14ac:dyDescent="0.25"/>
  <cols>
    <col min="1" max="3" width="4.140625" style="75" customWidth="1"/>
    <col min="4" max="4" width="9.28515625" style="75" customWidth="1"/>
    <col min="5" max="5" width="32" style="75" customWidth="1"/>
    <col min="6" max="6" width="11.7109375" style="75" hidden="1" customWidth="1"/>
    <col min="7" max="16384" width="14.42578125" style="75"/>
  </cols>
  <sheetData>
    <row r="1" spans="1:17" ht="34.5" customHeight="1" x14ac:dyDescent="0.35">
      <c r="A1" s="4"/>
      <c r="B1" s="5"/>
      <c r="C1" s="5"/>
      <c r="D1" s="106"/>
      <c r="E1" s="107" t="s">
        <v>7896</v>
      </c>
      <c r="F1" s="108"/>
      <c r="G1" s="109"/>
      <c r="H1" s="39" t="s">
        <v>224</v>
      </c>
      <c r="I1" s="110" t="s">
        <v>7747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11" t="s">
        <v>7738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12" t="s">
        <v>7748</v>
      </c>
      <c r="H3" s="5"/>
      <c r="I3" s="5"/>
      <c r="J3" s="5"/>
      <c r="K3" s="5"/>
      <c r="L3" s="5"/>
      <c r="M3" s="5"/>
      <c r="N3" s="113"/>
      <c r="O3" s="5"/>
      <c r="P3" s="5"/>
      <c r="Q3" s="5"/>
    </row>
    <row r="4" spans="1:17" ht="15.75" customHeight="1" x14ac:dyDescent="0.2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7740</v>
      </c>
      <c r="F7" s="27"/>
      <c r="G7" s="114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102" t="s">
        <v>7741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102" t="s">
        <v>7742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15" t="s">
        <v>7749</v>
      </c>
      <c r="F12" s="116"/>
      <c r="G12" s="117">
        <v>40000</v>
      </c>
      <c r="H12" s="5"/>
      <c r="I12" s="27" t="s">
        <v>7750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7751</v>
      </c>
      <c r="F13" s="27"/>
      <c r="G13" s="69">
        <f>'[4]updated event rev &amp; Exp 1.4.22 '!G10</f>
        <v>85000</v>
      </c>
      <c r="H13" s="5"/>
      <c r="I13" s="118" t="s">
        <v>7752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7753</v>
      </c>
      <c r="D14" s="5"/>
      <c r="E14" s="5"/>
      <c r="F14" s="27"/>
      <c r="G14" s="69"/>
      <c r="H14" s="5"/>
      <c r="I14" s="118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119</v>
      </c>
      <c r="E15" s="5"/>
      <c r="F15" s="27"/>
      <c r="G15" s="69"/>
      <c r="H15" s="5"/>
      <c r="I15" s="118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18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18" t="s">
        <v>7754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18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126</v>
      </c>
      <c r="D19" s="5"/>
      <c r="E19" s="5"/>
      <c r="F19" s="27"/>
      <c r="G19" s="69"/>
      <c r="H19" s="5"/>
      <c r="I19" s="118" t="s">
        <v>7755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19" t="s">
        <v>7743</v>
      </c>
      <c r="E20" s="5"/>
      <c r="F20" s="27"/>
      <c r="G20" s="104">
        <f>'[4]updated event rev &amp; Exp 1.4.22 '!G18</f>
        <v>10000</v>
      </c>
      <c r="H20" s="5"/>
      <c r="I20" s="118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20" t="s">
        <v>5224</v>
      </c>
      <c r="E21" s="5"/>
      <c r="F21" s="27"/>
      <c r="G21" s="104">
        <f>'[4]updated event rev &amp; Exp 1.4.22 '!G19</f>
        <v>50000</v>
      </c>
      <c r="H21" s="5"/>
      <c r="I21" s="118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19" t="s">
        <v>7756</v>
      </c>
      <c r="E22" s="5"/>
      <c r="F22" s="27"/>
      <c r="G22" s="104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9"/>
      <c r="H23" s="5"/>
      <c r="I23" s="118" t="s">
        <v>6675</v>
      </c>
      <c r="J23" s="5"/>
      <c r="K23" s="5"/>
      <c r="P23" s="5"/>
      <c r="Q23" s="5"/>
    </row>
    <row r="24" spans="1:17" ht="15.75" customHeight="1" x14ac:dyDescent="0.2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18" t="s">
        <v>7757</v>
      </c>
      <c r="J24" s="5"/>
      <c r="K24" s="5"/>
      <c r="P24" s="5"/>
      <c r="Q24" s="5"/>
    </row>
    <row r="25" spans="1:17" ht="15.75" customHeight="1" x14ac:dyDescent="0.2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18"/>
      <c r="J25" s="5"/>
      <c r="K25" s="5"/>
      <c r="P25" s="5"/>
      <c r="Q25" s="5"/>
    </row>
    <row r="26" spans="1:17" ht="15.75" customHeight="1" x14ac:dyDescent="0.25">
      <c r="A26" s="4"/>
      <c r="B26" s="5" t="s">
        <v>134</v>
      </c>
      <c r="C26" s="5"/>
      <c r="D26" s="5"/>
      <c r="E26" s="5"/>
      <c r="F26" s="27"/>
      <c r="G26" s="69"/>
      <c r="H26" s="5"/>
      <c r="I26" s="118"/>
      <c r="J26" s="5"/>
      <c r="K26" s="5"/>
      <c r="P26" s="5"/>
      <c r="Q26" s="5"/>
    </row>
    <row r="27" spans="1:17" ht="15.75" customHeight="1" x14ac:dyDescent="0.25">
      <c r="A27" s="4"/>
      <c r="B27" s="5" t="s">
        <v>135</v>
      </c>
      <c r="C27" s="5"/>
      <c r="D27" s="5"/>
      <c r="E27" s="5"/>
      <c r="F27" s="27"/>
      <c r="G27" s="72"/>
      <c r="H27" s="5"/>
      <c r="I27" s="118" t="s">
        <v>7758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18" t="s">
        <v>7759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104">
        <v>250000</v>
      </c>
      <c r="H29" s="5"/>
      <c r="I29" s="118"/>
      <c r="J29" s="5"/>
      <c r="K29" s="5"/>
      <c r="L29" s="88"/>
      <c r="P29" s="5"/>
      <c r="Q29" s="5"/>
    </row>
    <row r="30" spans="1:17" ht="15.75" customHeight="1" x14ac:dyDescent="0.25">
      <c r="A30" s="4"/>
      <c r="B30" s="5" t="s">
        <v>136</v>
      </c>
      <c r="C30" s="5"/>
      <c r="D30" s="5"/>
      <c r="E30" s="5"/>
      <c r="F30" s="27"/>
      <c r="G30" s="69"/>
      <c r="H30" s="5"/>
      <c r="I30" s="118" t="s">
        <v>7758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18" t="s">
        <v>7758</v>
      </c>
      <c r="J31" s="5"/>
      <c r="K31" s="5"/>
      <c r="L31" s="88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18"/>
      <c r="J32" s="121"/>
      <c r="K32" s="5"/>
      <c r="P32" s="5"/>
      <c r="Q32" s="5"/>
    </row>
    <row r="33" spans="1:17" ht="15.75" customHeight="1" x14ac:dyDescent="0.2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18"/>
      <c r="J33" s="5"/>
      <c r="K33" s="5"/>
      <c r="P33" s="5"/>
      <c r="Q33" s="5"/>
    </row>
    <row r="34" spans="1:17" ht="15.75" customHeight="1" x14ac:dyDescent="0.2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139</v>
      </c>
      <c r="C36" s="5"/>
      <c r="D36" s="5"/>
      <c r="E36" s="17"/>
      <c r="F36" s="27"/>
      <c r="G36" s="122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22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2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25" customFormat="1" ht="12.75" x14ac:dyDescent="0.2">
      <c r="A40" s="4"/>
      <c r="B40" s="4" t="s">
        <v>7422</v>
      </c>
      <c r="C40" s="4"/>
      <c r="D40" s="4"/>
      <c r="E40" s="4"/>
      <c r="F40" s="123"/>
      <c r="G40" s="124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18" t="s">
        <v>7755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26" t="s">
        <v>7754</v>
      </c>
      <c r="N43" s="5"/>
      <c r="O43" s="5"/>
      <c r="P43" s="5"/>
      <c r="Q43" s="5"/>
    </row>
    <row r="44" spans="1:17" x14ac:dyDescent="0.25">
      <c r="A44" s="4"/>
      <c r="B44" s="5"/>
      <c r="C44" s="5" t="s">
        <v>144</v>
      </c>
      <c r="D44" s="5"/>
      <c r="E44" s="5"/>
      <c r="F44" s="27"/>
      <c r="G44" s="43">
        <v>182560</v>
      </c>
      <c r="I44" s="102" t="s">
        <v>7760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7751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7761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19" t="s">
        <v>7743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20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19" t="s">
        <v>7756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2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152</v>
      </c>
      <c r="D52" s="5"/>
      <c r="E52" s="5"/>
      <c r="F52" s="27"/>
      <c r="G52" s="127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155</v>
      </c>
      <c r="D55" s="5"/>
      <c r="E55" s="5"/>
      <c r="F55" s="27"/>
      <c r="G55" s="56"/>
      <c r="H55" s="5"/>
      <c r="I55" s="102" t="s">
        <v>7762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2" t="s">
        <v>7763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7764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7765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161</v>
      </c>
      <c r="D63" s="5"/>
      <c r="E63" s="5"/>
      <c r="F63" s="27"/>
      <c r="G63" s="56"/>
      <c r="H63" s="5"/>
      <c r="I63" s="102" t="s">
        <v>7766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164</v>
      </c>
      <c r="D67" s="5"/>
      <c r="E67" s="5"/>
      <c r="F67" s="27"/>
      <c r="G67" s="56"/>
      <c r="H67" s="5"/>
      <c r="I67" s="102" t="s">
        <v>7767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7768</v>
      </c>
      <c r="K69" s="5"/>
      <c r="N69" s="5"/>
      <c r="O69" s="5"/>
      <c r="P69" s="5"/>
      <c r="Q69" s="5"/>
    </row>
    <row r="70" spans="1:17" x14ac:dyDescent="0.2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2" t="s">
        <v>7769</v>
      </c>
      <c r="K73" s="5"/>
      <c r="N73" s="5"/>
      <c r="O73" s="5"/>
      <c r="P73" s="5"/>
      <c r="Q73" s="5"/>
    </row>
    <row r="74" spans="1:17" x14ac:dyDescent="0.2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168</v>
      </c>
      <c r="D76" s="5"/>
      <c r="E76" s="5"/>
      <c r="F76" s="27"/>
      <c r="G76" s="56"/>
      <c r="H76" s="5"/>
      <c r="I76" s="102" t="s">
        <v>7770</v>
      </c>
      <c r="K76" s="5"/>
      <c r="N76" s="5"/>
      <c r="O76" s="5"/>
      <c r="P76" s="5"/>
      <c r="Q76" s="5"/>
    </row>
    <row r="77" spans="1:17" x14ac:dyDescent="0.25">
      <c r="A77" s="4"/>
      <c r="C77" s="5" t="s">
        <v>169</v>
      </c>
      <c r="D77" s="5"/>
      <c r="E77" s="5"/>
      <c r="F77" s="27"/>
      <c r="G77" s="56"/>
      <c r="H77" s="5"/>
      <c r="I77" s="102" t="s">
        <v>7771</v>
      </c>
      <c r="K77" s="5"/>
      <c r="N77" s="5"/>
      <c r="O77" s="5"/>
      <c r="P77" s="5"/>
      <c r="Q77" s="5"/>
    </row>
    <row r="78" spans="1:17" x14ac:dyDescent="0.2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7746</v>
      </c>
      <c r="D83" s="5"/>
      <c r="E83" s="5"/>
      <c r="F83" s="27"/>
      <c r="G83" s="56">
        <v>30000</v>
      </c>
      <c r="I83" s="5" t="s">
        <v>7772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7773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2" t="s">
        <v>7774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2" t="s">
        <v>7775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2" t="s">
        <v>7776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2" t="s">
        <v>7777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7778</v>
      </c>
      <c r="E113" s="5"/>
      <c r="F113" s="27" t="s">
        <v>202</v>
      </c>
      <c r="G113" s="69">
        <v>25000</v>
      </c>
      <c r="I113" s="5" t="s">
        <v>7779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7780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190</v>
      </c>
      <c r="E119" s="5"/>
      <c r="F119" s="27" t="s">
        <v>202</v>
      </c>
      <c r="G119" s="128">
        <v>136735.26019999999</v>
      </c>
      <c r="I119" s="5" t="s">
        <v>7781</v>
      </c>
      <c r="K119" s="5"/>
      <c r="M119" s="129">
        <f>G119+G108+G98+G88+G73+G62+G44+G120</f>
        <v>821170.58799999999</v>
      </c>
      <c r="N119" s="5" t="s">
        <v>7782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7783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7784</v>
      </c>
      <c r="C121" s="5"/>
      <c r="E121" s="5"/>
      <c r="F121" s="27" t="s">
        <v>202</v>
      </c>
      <c r="G121" s="69">
        <v>3000</v>
      </c>
      <c r="I121" s="5" t="s">
        <v>7785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7786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30" t="s">
        <v>7787</v>
      </c>
      <c r="C123" s="131"/>
      <c r="D123" s="131"/>
      <c r="E123" s="131"/>
      <c r="F123" s="132"/>
      <c r="G123" s="133">
        <v>43000</v>
      </c>
      <c r="I123" s="27" t="s">
        <v>7788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7789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7790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7430</v>
      </c>
      <c r="C128" s="5"/>
      <c r="D128" s="5"/>
      <c r="E128" s="5"/>
      <c r="F128" s="27"/>
      <c r="G128" s="69"/>
      <c r="I128" s="5" t="s">
        <v>7791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7431</v>
      </c>
      <c r="C129" s="5"/>
      <c r="D129" s="5"/>
      <c r="E129" s="17"/>
      <c r="F129" s="27" t="s">
        <v>202</v>
      </c>
      <c r="G129" s="122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5" t="s">
        <v>196</v>
      </c>
      <c r="F130" s="5"/>
      <c r="G130" s="122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7792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7793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46">
        <f>L137/12</f>
        <v>121179.31983333333</v>
      </c>
      <c r="N137" s="146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7795</v>
      </c>
      <c r="F138" s="5"/>
      <c r="G138" s="140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7460</v>
      </c>
      <c r="F139" s="5"/>
      <c r="G139" s="140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232</v>
      </c>
      <c r="F140" s="5"/>
      <c r="G140" s="140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7462</v>
      </c>
      <c r="F141" s="5"/>
      <c r="G141" s="140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231</v>
      </c>
      <c r="F142" s="5"/>
      <c r="G142" s="140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7463</v>
      </c>
      <c r="F143" s="5"/>
      <c r="G143" s="140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7439</v>
      </c>
      <c r="F144" s="5"/>
      <c r="G144" s="140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201</v>
      </c>
      <c r="F145" s="5"/>
      <c r="G145" s="140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E146"/>
      <c r="F146" s="5"/>
      <c r="G146" s="139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F2" sqref="F2"/>
    </sheetView>
  </sheetViews>
  <sheetFormatPr defaultColWidth="14.42578125" defaultRowHeight="15" x14ac:dyDescent="0.25"/>
  <cols>
    <col min="1" max="3" width="4.140625" style="75" customWidth="1"/>
    <col min="4" max="4" width="17.28515625" style="75" customWidth="1"/>
    <col min="5" max="5" width="31.28515625" style="75" customWidth="1"/>
    <col min="6" max="6" width="12.85546875" style="75" customWidth="1"/>
    <col min="7" max="7" width="12.5703125" style="75" customWidth="1"/>
    <col min="8" max="8" width="11.85546875" style="75" customWidth="1"/>
    <col min="9" max="9" width="13.85546875" style="75" customWidth="1"/>
    <col min="10" max="15" width="10.7109375" style="75" customWidth="1"/>
    <col min="16" max="16" width="11.28515625" style="75" bestFit="1" customWidth="1"/>
    <col min="17" max="17" width="12.140625" style="75" customWidth="1"/>
    <col min="18" max="20" width="12.7109375" style="75" customWidth="1"/>
    <col min="21" max="32" width="12.7109375" style="75" hidden="1" customWidth="1"/>
    <col min="33" max="43" width="12.7109375" style="75" customWidth="1"/>
    <col min="44" max="44" width="3.5703125" style="75" customWidth="1"/>
    <col min="45" max="57" width="14.42578125" style="75"/>
    <col min="58" max="62" width="6.5703125" style="75" hidden="1" customWidth="1"/>
    <col min="63" max="64" width="44.85546875" style="75" hidden="1" customWidth="1"/>
    <col min="65" max="66" width="44.85546875" style="75" customWidth="1"/>
    <col min="67" max="16384" width="14.42578125" style="75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25">
      <c r="A3" s="190" t="s">
        <v>4</v>
      </c>
      <c r="B3" s="190"/>
      <c r="C3" s="190"/>
      <c r="D3" s="190"/>
      <c r="E3" s="190"/>
      <c r="F3" s="188" t="s">
        <v>7738</v>
      </c>
      <c r="G3" s="189" t="s">
        <v>104</v>
      </c>
      <c r="H3" s="189" t="s">
        <v>105</v>
      </c>
      <c r="I3" s="189" t="s">
        <v>106</v>
      </c>
      <c r="J3" s="189" t="s">
        <v>107</v>
      </c>
      <c r="K3" s="189" t="s">
        <v>108</v>
      </c>
      <c r="L3" s="189" t="s">
        <v>109</v>
      </c>
      <c r="M3" s="189" t="s">
        <v>110</v>
      </c>
      <c r="N3" s="189" t="s">
        <v>111</v>
      </c>
      <c r="O3" s="189" t="s">
        <v>112</v>
      </c>
      <c r="P3" s="189" t="s">
        <v>113</v>
      </c>
      <c r="Q3" s="189" t="s">
        <v>114</v>
      </c>
      <c r="R3" s="189" t="s">
        <v>115</v>
      </c>
      <c r="S3" s="189" t="s">
        <v>7739</v>
      </c>
      <c r="T3" s="189" t="s">
        <v>7894</v>
      </c>
      <c r="U3" s="9"/>
      <c r="V3" s="9" t="s">
        <v>7697</v>
      </c>
      <c r="W3" s="9" t="s">
        <v>7715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2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2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2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25">
      <c r="A7" s="4"/>
      <c r="B7" s="5"/>
      <c r="C7" s="5"/>
      <c r="D7" s="5"/>
      <c r="E7" s="5" t="s">
        <v>7740</v>
      </c>
      <c r="F7" s="69">
        <f>'[5]FY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>
        <f>SUM(G7:P7)</f>
        <v>100000</v>
      </c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25">
      <c r="A8" s="4"/>
      <c r="B8" s="5"/>
      <c r="C8" s="101"/>
      <c r="D8" s="101"/>
      <c r="E8" s="102" t="s">
        <v>7741</v>
      </c>
      <c r="F8" s="69">
        <f>'[5]FY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>
        <f t="shared" ref="T8:T37" si="7">SUM(G8:P8)</f>
        <v>25000</v>
      </c>
      <c r="U8" s="68"/>
      <c r="V8" s="68">
        <f t="shared" ref="V8:V72" si="8">SUM(G8:Q8)</f>
        <v>25000</v>
      </c>
      <c r="W8" s="68">
        <f t="shared" ref="W8:W72" si="9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102" t="s">
        <v>7742</v>
      </c>
      <c r="F9" s="69">
        <f>'[5]FY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>
        <f t="shared" si="7"/>
        <v>265000</v>
      </c>
      <c r="U9" s="68"/>
      <c r="V9" s="68">
        <f t="shared" si="8"/>
        <v>265000</v>
      </c>
      <c r="W9" s="68">
        <f t="shared" si="9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25">
      <c r="A10" s="4"/>
      <c r="B10" s="5"/>
      <c r="C10" s="5" t="str">
        <f>'[5]FY 22 Bud by account'!C14</f>
        <v>Event Sponsorships</v>
      </c>
      <c r="E10" s="102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>
        <f t="shared" si="7"/>
        <v>0</v>
      </c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102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>
        <f t="shared" si="7"/>
        <v>0</v>
      </c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102" t="str">
        <f>'[5]FY 22 Bud by account'!E16</f>
        <v>Global AppSec Virtual EU</v>
      </c>
      <c r="F12" s="69">
        <f>'[5]FY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>
        <f t="shared" si="7"/>
        <v>200000</v>
      </c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102" t="str">
        <f>'[5]FY 22 Bud by account'!E17</f>
        <v>Global AppSec Virtual ASIA Pac</v>
      </c>
      <c r="F13" s="69">
        <f>'[5]FY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>
        <f t="shared" si="7"/>
        <v>200000</v>
      </c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102" t="str">
        <f>'[5]FY 22 Bud by account'!E18</f>
        <v>Global AppSec in person SF</v>
      </c>
      <c r="F14" s="69">
        <f>'[5]FY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>
        <f t="shared" si="7"/>
        <v>400000</v>
      </c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102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>
        <f t="shared" si="7"/>
        <v>0</v>
      </c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>
        <f t="shared" si="7"/>
        <v>0</v>
      </c>
      <c r="U16" s="68"/>
      <c r="V16" s="68">
        <f t="shared" si="8"/>
        <v>0</v>
      </c>
      <c r="W16" s="68">
        <f t="shared" si="9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103" t="str">
        <f>'[5]FY 22 Bud by account'!E12</f>
        <v>EU events</v>
      </c>
      <c r="F17" s="69">
        <f>'[5]FY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>
        <f t="shared" si="7"/>
        <v>30000</v>
      </c>
      <c r="U17" s="68"/>
      <c r="V17" s="68">
        <f t="shared" si="8"/>
        <v>30000</v>
      </c>
      <c r="W17" s="68">
        <f t="shared" si="9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103" t="str">
        <f>'[5]FY 22 Bud by account'!E13</f>
        <v>LASCON 2022</v>
      </c>
      <c r="F18" s="69">
        <f>'[5]FY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>
        <f t="shared" si="7"/>
        <v>0</v>
      </c>
      <c r="U18" s="68"/>
      <c r="V18" s="68">
        <f t="shared" si="8"/>
        <v>85000</v>
      </c>
      <c r="W18" s="68">
        <f t="shared" si="9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25">
      <c r="A19" s="4"/>
      <c r="B19" s="5"/>
      <c r="C19" s="5" t="s">
        <v>126</v>
      </c>
      <c r="D19" s="5"/>
      <c r="E19" s="5"/>
      <c r="F19" s="69">
        <f>'[3]21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>
        <f t="shared" si="7"/>
        <v>0</v>
      </c>
      <c r="U19" s="68"/>
      <c r="V19" s="68">
        <f t="shared" si="8"/>
        <v>0</v>
      </c>
      <c r="W19" s="68">
        <f t="shared" si="9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7743</v>
      </c>
      <c r="E20" s="5"/>
      <c r="F20" s="104">
        <f>'[5]FY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>
        <f t="shared" si="7"/>
        <v>10000</v>
      </c>
      <c r="U20" s="68"/>
      <c r="V20" s="68">
        <f t="shared" si="8"/>
        <v>10000</v>
      </c>
      <c r="W20" s="68">
        <f t="shared" si="9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7744</v>
      </c>
      <c r="E21" s="5"/>
      <c r="F21" s="104">
        <f>'[5]FY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>
        <f t="shared" si="7"/>
        <v>37500</v>
      </c>
      <c r="U21" s="68"/>
      <c r="V21" s="68">
        <f t="shared" si="8"/>
        <v>37500</v>
      </c>
      <c r="W21" s="68">
        <f t="shared" si="9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>
        <f t="shared" si="7"/>
        <v>0</v>
      </c>
      <c r="U22" s="68"/>
      <c r="V22" s="68">
        <f t="shared" si="8"/>
        <v>0</v>
      </c>
      <c r="W22" s="68">
        <f t="shared" si="9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>
        <f t="shared" si="7"/>
        <v>0</v>
      </c>
      <c r="U23" s="68"/>
      <c r="V23" s="68">
        <f t="shared" si="8"/>
        <v>0</v>
      </c>
      <c r="W23" s="68">
        <f t="shared" si="9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25">
      <c r="A24" s="4"/>
      <c r="B24" s="5" t="s">
        <v>7745</v>
      </c>
      <c r="C24" s="5"/>
      <c r="D24" s="5"/>
      <c r="E24" s="5"/>
      <c r="F24" s="69">
        <f>'[5]FY 22 Bud by account'!G25+'[5]FY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>
        <f t="shared" si="7"/>
        <v>106000</v>
      </c>
      <c r="U24" s="68"/>
      <c r="V24" s="68">
        <f t="shared" si="8"/>
        <v>106000</v>
      </c>
      <c r="W24" s="68">
        <f t="shared" si="9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2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>
        <f t="shared" si="7"/>
        <v>0</v>
      </c>
      <c r="U25" s="68"/>
      <c r="V25" s="68">
        <f t="shared" si="8"/>
        <v>0</v>
      </c>
      <c r="W25" s="68">
        <f t="shared" si="9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2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>
        <f t="shared" si="7"/>
        <v>0</v>
      </c>
      <c r="U26" s="68"/>
      <c r="V26" s="68">
        <f t="shared" si="8"/>
        <v>0</v>
      </c>
      <c r="W26" s="68">
        <f t="shared" si="9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10">IF(ISBLANK(A26),"   ",A26)</f>
        <v xml:space="preserve">   </v>
      </c>
      <c r="BG26" s="11" t="str">
        <f t="shared" si="10"/>
        <v>Google Summer of Code</v>
      </c>
      <c r="BH26" s="11" t="str">
        <f t="shared" si="10"/>
        <v xml:space="preserve">   </v>
      </c>
      <c r="BI26" s="11" t="str">
        <f t="shared" si="10"/>
        <v xml:space="preserve">   </v>
      </c>
      <c r="BJ26" s="11" t="str">
        <f t="shared" si="10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2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>
        <f t="shared" si="7"/>
        <v>0</v>
      </c>
      <c r="U27" s="68"/>
      <c r="V27" s="68">
        <f t="shared" si="8"/>
        <v>0</v>
      </c>
      <c r="W27" s="68">
        <f t="shared" si="9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1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10"/>
        <v xml:space="preserve">   </v>
      </c>
      <c r="BG27" s="11" t="str">
        <f t="shared" si="10"/>
        <v>Bequests</v>
      </c>
      <c r="BH27" s="11" t="str">
        <f t="shared" si="10"/>
        <v xml:space="preserve">   </v>
      </c>
      <c r="BI27" s="11" t="str">
        <f t="shared" si="10"/>
        <v xml:space="preserve">   </v>
      </c>
      <c r="BJ27" s="11" t="str">
        <f t="shared" si="10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>
        <f t="shared" si="7"/>
        <v>0</v>
      </c>
      <c r="U28" s="68"/>
      <c r="V28" s="68">
        <f t="shared" si="8"/>
        <v>0</v>
      </c>
      <c r="W28" s="68">
        <f t="shared" si="9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1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10"/>
        <v xml:space="preserve">   </v>
      </c>
      <c r="BG28" s="11" t="str">
        <f t="shared" si="10"/>
        <v>Corporate Sponsorship</v>
      </c>
      <c r="BH28" s="11" t="str">
        <f t="shared" si="10"/>
        <v xml:space="preserve">   </v>
      </c>
      <c r="BI28" s="11" t="str">
        <f t="shared" si="10"/>
        <v xml:space="preserve">   </v>
      </c>
      <c r="BJ28" s="11" t="str">
        <f t="shared" si="10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2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>
        <f t="shared" si="7"/>
        <v>0</v>
      </c>
      <c r="U29" s="68"/>
      <c r="V29" s="68">
        <f t="shared" si="8"/>
        <v>0</v>
      </c>
      <c r="W29" s="68">
        <f t="shared" si="9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1"/>
        <v/>
      </c>
      <c r="AT29" s="11" t="str">
        <f t="shared" ref="AT29:BE31" si="12">IF(ISBLANK(G29),"",RIGHT(REPT(" ",15)&amp;TEXT(G29,"$#,##0"),12))</f>
        <v/>
      </c>
      <c r="AU29" s="11" t="str">
        <f t="shared" si="12"/>
        <v/>
      </c>
      <c r="AV29" s="11" t="str">
        <f t="shared" si="12"/>
        <v/>
      </c>
      <c r="AW29" s="11" t="str">
        <f t="shared" si="12"/>
        <v/>
      </c>
      <c r="AX29" s="11" t="str">
        <f t="shared" si="12"/>
        <v/>
      </c>
      <c r="AY29" s="11" t="str">
        <f t="shared" si="12"/>
        <v/>
      </c>
      <c r="AZ29" s="11" t="str">
        <f t="shared" si="12"/>
        <v/>
      </c>
      <c r="BA29" s="11" t="str">
        <f t="shared" si="12"/>
        <v/>
      </c>
      <c r="BB29" s="11" t="str">
        <f t="shared" si="12"/>
        <v/>
      </c>
      <c r="BC29" s="11" t="str">
        <f t="shared" si="12"/>
        <v/>
      </c>
      <c r="BD29" s="11" t="str">
        <f t="shared" si="12"/>
        <v/>
      </c>
      <c r="BE29" s="11" t="str">
        <f t="shared" si="12"/>
        <v/>
      </c>
      <c r="BF29" s="11" t="str">
        <f t="shared" si="10"/>
        <v xml:space="preserve">   </v>
      </c>
      <c r="BG29" s="11" t="str">
        <f t="shared" si="10"/>
        <v>Membership</v>
      </c>
      <c r="BH29" s="11" t="str">
        <f t="shared" si="10"/>
        <v xml:space="preserve">   </v>
      </c>
      <c r="BI29" s="11" t="str">
        <f t="shared" si="10"/>
        <v xml:space="preserve">   </v>
      </c>
      <c r="BJ29" s="11" t="str">
        <f t="shared" si="10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9">
        <f>'[5]FY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>
        <f t="shared" si="7"/>
        <v>250000</v>
      </c>
      <c r="U30" s="68"/>
      <c r="V30" s="68">
        <f t="shared" si="8"/>
        <v>275000</v>
      </c>
      <c r="W30" s="68">
        <f t="shared" si="9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87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1"/>
        <v xml:space="preserve">    $300,000</v>
      </c>
      <c r="AT30" s="11" t="str">
        <f t="shared" si="12"/>
        <v xml:space="preserve">     $25,000</v>
      </c>
      <c r="AU30" s="11" t="str">
        <f t="shared" si="12"/>
        <v xml:space="preserve">     $25,000</v>
      </c>
      <c r="AV30" s="11" t="str">
        <f t="shared" si="12"/>
        <v xml:space="preserve">     $25,000</v>
      </c>
      <c r="AW30" s="11" t="str">
        <f t="shared" si="12"/>
        <v xml:space="preserve">     $25,000</v>
      </c>
      <c r="AX30" s="11" t="str">
        <f t="shared" si="12"/>
        <v xml:space="preserve">     $25,000</v>
      </c>
      <c r="AY30" s="11" t="str">
        <f t="shared" si="12"/>
        <v xml:space="preserve">     $25,000</v>
      </c>
      <c r="AZ30" s="11" t="str">
        <f t="shared" si="12"/>
        <v xml:space="preserve">     $25,000</v>
      </c>
      <c r="BA30" s="11" t="str">
        <f t="shared" si="12"/>
        <v xml:space="preserve">     $25,000</v>
      </c>
      <c r="BB30" s="11" t="str">
        <f t="shared" si="12"/>
        <v xml:space="preserve">     $25,000</v>
      </c>
      <c r="BC30" s="11" t="str">
        <f t="shared" si="12"/>
        <v xml:space="preserve">     $25,000</v>
      </c>
      <c r="BD30" s="11" t="str">
        <f t="shared" si="12"/>
        <v xml:space="preserve">     $25,000</v>
      </c>
      <c r="BE30" s="11" t="str">
        <f t="shared" si="12"/>
        <v xml:space="preserve">     $25,000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0"/>
        <v>Individual</v>
      </c>
      <c r="BJ30" s="11" t="str">
        <f t="shared" si="10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72"/>
      <c r="F31" s="104">
        <f>'[5]FY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>
        <f t="shared" si="7"/>
        <v>208333.33333333334</v>
      </c>
      <c r="U31" s="68"/>
      <c r="V31" s="68">
        <f t="shared" si="8"/>
        <v>229166.66666666669</v>
      </c>
      <c r="W31" s="68">
        <f t="shared" si="9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1"/>
        <v xml:space="preserve">    $250,000</v>
      </c>
      <c r="AT31" s="11" t="str">
        <f t="shared" si="12"/>
        <v xml:space="preserve">     $20,833</v>
      </c>
      <c r="AU31" s="11" t="str">
        <f t="shared" si="12"/>
        <v xml:space="preserve">     $20,833</v>
      </c>
      <c r="AV31" s="11" t="str">
        <f t="shared" si="12"/>
        <v xml:space="preserve">     $20,833</v>
      </c>
      <c r="AW31" s="11" t="str">
        <f t="shared" si="12"/>
        <v xml:space="preserve">     $20,833</v>
      </c>
      <c r="AX31" s="11" t="str">
        <f t="shared" si="12"/>
        <v xml:space="preserve">     $20,833</v>
      </c>
      <c r="AY31" s="11" t="str">
        <f t="shared" si="12"/>
        <v xml:space="preserve">     $20,833</v>
      </c>
      <c r="AZ31" s="11" t="str">
        <f t="shared" si="12"/>
        <v xml:space="preserve">     $20,833</v>
      </c>
      <c r="BA31" s="11" t="str">
        <f t="shared" si="12"/>
        <v xml:space="preserve">     $20,833</v>
      </c>
      <c r="BB31" s="11" t="str">
        <f t="shared" si="12"/>
        <v xml:space="preserve">     $20,833</v>
      </c>
      <c r="BC31" s="11" t="str">
        <f t="shared" si="12"/>
        <v xml:space="preserve">     $20,833</v>
      </c>
      <c r="BD31" s="11" t="str">
        <f t="shared" si="12"/>
        <v xml:space="preserve">     $20,833</v>
      </c>
      <c r="BE31" s="11" t="str">
        <f t="shared" si="12"/>
        <v xml:space="preserve">     $20,833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0"/>
        <v>Corporate</v>
      </c>
      <c r="BJ31" s="11" t="str">
        <f t="shared" si="10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2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8">
        <f t="shared" si="7"/>
        <v>0</v>
      </c>
      <c r="U32" s="43"/>
      <c r="V32" s="68">
        <f t="shared" si="8"/>
        <v>0</v>
      </c>
      <c r="W32" s="68">
        <f t="shared" si="9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1"/>
        <v/>
      </c>
      <c r="AT32" s="11" t="str">
        <f t="shared" ref="AT32:BE32" si="13">IF(ISBLANK(G33),"",RIGHT(REPT(" ",15)&amp;TEXT(G33,"$#,##0"),12))</f>
        <v xml:space="preserve">      $4,167</v>
      </c>
      <c r="AU32" s="11" t="str">
        <f t="shared" si="13"/>
        <v xml:space="preserve">      $4,167</v>
      </c>
      <c r="AV32" s="11" t="str">
        <f t="shared" si="13"/>
        <v xml:space="preserve">      $4,167</v>
      </c>
      <c r="AW32" s="11" t="str">
        <f t="shared" si="13"/>
        <v xml:space="preserve">      $4,167</v>
      </c>
      <c r="AX32" s="11" t="str">
        <f t="shared" si="13"/>
        <v xml:space="preserve">      $4,167</v>
      </c>
      <c r="AY32" s="11" t="str">
        <f t="shared" si="13"/>
        <v xml:space="preserve">      $4,167</v>
      </c>
      <c r="AZ32" s="11" t="str">
        <f t="shared" si="13"/>
        <v xml:space="preserve">      $4,167</v>
      </c>
      <c r="BA32" s="11" t="str">
        <f t="shared" si="13"/>
        <v xml:space="preserve">      $4,167</v>
      </c>
      <c r="BB32" s="11" t="str">
        <f t="shared" si="13"/>
        <v xml:space="preserve">      $4,167</v>
      </c>
      <c r="BC32" s="11" t="str">
        <f t="shared" si="13"/>
        <v xml:space="preserve">      $4,167</v>
      </c>
      <c r="BD32" s="11" t="str">
        <f t="shared" si="13"/>
        <v xml:space="preserve">      $4,167</v>
      </c>
      <c r="BE32" s="11" t="str">
        <f t="shared" si="13"/>
        <v xml:space="preserve">      $4,167</v>
      </c>
      <c r="BF32" s="11" t="str">
        <f t="shared" si="10"/>
        <v xml:space="preserve">   </v>
      </c>
      <c r="BG32" s="11" t="str">
        <f t="shared" si="10"/>
        <v>Fundraising and Donations</v>
      </c>
      <c r="BH32" s="11" t="str">
        <f t="shared" si="10"/>
        <v xml:space="preserve">   </v>
      </c>
      <c r="BI32" s="11" t="str">
        <f t="shared" si="10"/>
        <v xml:space="preserve">   </v>
      </c>
      <c r="BJ32" s="11" t="str">
        <f t="shared" si="10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9">
        <f>'[5]FY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>
        <f t="shared" si="7"/>
        <v>41666.666666666664</v>
      </c>
      <c r="U33" s="68"/>
      <c r="V33" s="68">
        <f t="shared" si="8"/>
        <v>45833.333333333328</v>
      </c>
      <c r="W33" s="68">
        <f t="shared" si="9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1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0"/>
        <v>Corporate</v>
      </c>
      <c r="BJ33" s="11" t="str">
        <f t="shared" si="10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9">
        <f>'[5]FY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>
        <f t="shared" si="7"/>
        <v>25000</v>
      </c>
      <c r="U34" s="68"/>
      <c r="V34" s="68">
        <f t="shared" si="8"/>
        <v>27500</v>
      </c>
      <c r="W34" s="68">
        <f t="shared" si="9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1"/>
        <v xml:space="preserve">     $30,000</v>
      </c>
      <c r="AT34" s="11" t="str">
        <f t="shared" ref="AT34:BE40" si="14">IF(ISBLANK(G34),"",RIGHT(REPT(" ",15)&amp;TEXT(G34,"$#,##0"),12))</f>
        <v xml:space="preserve">      $2,500</v>
      </c>
      <c r="AU34" s="11" t="str">
        <f t="shared" si="14"/>
        <v xml:space="preserve">      $2,500</v>
      </c>
      <c r="AV34" s="11" t="str">
        <f t="shared" si="14"/>
        <v xml:space="preserve">      $2,500</v>
      </c>
      <c r="AW34" s="11" t="str">
        <f t="shared" si="14"/>
        <v xml:space="preserve">      $2,500</v>
      </c>
      <c r="AX34" s="11" t="str">
        <f t="shared" si="14"/>
        <v xml:space="preserve">      $2,500</v>
      </c>
      <c r="AY34" s="11" t="str">
        <f t="shared" si="14"/>
        <v xml:space="preserve">      $2,500</v>
      </c>
      <c r="AZ34" s="11" t="str">
        <f t="shared" si="14"/>
        <v xml:space="preserve">      $2,500</v>
      </c>
      <c r="BA34" s="11" t="str">
        <f t="shared" si="14"/>
        <v xml:space="preserve">      $2,500</v>
      </c>
      <c r="BB34" s="11" t="str">
        <f t="shared" si="14"/>
        <v xml:space="preserve">      $2,500</v>
      </c>
      <c r="BC34" s="11" t="str">
        <f t="shared" si="14"/>
        <v xml:space="preserve">      $2,500</v>
      </c>
      <c r="BD34" s="11" t="str">
        <f t="shared" si="14"/>
        <v xml:space="preserve">      $2,500</v>
      </c>
      <c r="BE34" s="11" t="str">
        <f t="shared" si="14"/>
        <v xml:space="preserve">      $2,500</v>
      </c>
      <c r="BF34" s="11" t="str">
        <f t="shared" si="10"/>
        <v xml:space="preserve">   </v>
      </c>
      <c r="BG34" s="11" t="str">
        <f t="shared" si="10"/>
        <v xml:space="preserve">   </v>
      </c>
      <c r="BH34" s="11" t="str">
        <f t="shared" si="10"/>
        <v xml:space="preserve">   </v>
      </c>
      <c r="BI34" s="11" t="str">
        <f t="shared" si="10"/>
        <v>Individual</v>
      </c>
      <c r="BJ34" s="11" t="str">
        <f t="shared" si="10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25">
      <c r="A35" s="4"/>
      <c r="B35" s="5" t="s">
        <v>137</v>
      </c>
      <c r="C35" s="5"/>
      <c r="D35" s="5"/>
      <c r="E35" s="5"/>
      <c r="F35" s="69">
        <f>'[5]FY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>
        <f t="shared" si="7"/>
        <v>3000</v>
      </c>
      <c r="U35" s="68"/>
      <c r="V35" s="68">
        <f t="shared" si="8"/>
        <v>3000</v>
      </c>
      <c r="W35" s="68">
        <f t="shared" si="9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1"/>
        <v xml:space="preserve">      $4,000</v>
      </c>
      <c r="AT35" s="11" t="str">
        <f t="shared" si="14"/>
        <v/>
      </c>
      <c r="AU35" s="11" t="str">
        <f t="shared" si="14"/>
        <v/>
      </c>
      <c r="AV35" s="11" t="str">
        <f t="shared" si="14"/>
        <v xml:space="preserve">      $1,000</v>
      </c>
      <c r="AW35" s="11" t="str">
        <f t="shared" si="14"/>
        <v/>
      </c>
      <c r="AX35" s="11" t="str">
        <f t="shared" si="14"/>
        <v/>
      </c>
      <c r="AY35" s="11" t="str">
        <f t="shared" si="14"/>
        <v xml:space="preserve">      $1,000</v>
      </c>
      <c r="AZ35" s="11" t="str">
        <f t="shared" si="14"/>
        <v/>
      </c>
      <c r="BA35" s="11" t="str">
        <f t="shared" si="14"/>
        <v/>
      </c>
      <c r="BB35" s="11" t="str">
        <f t="shared" si="14"/>
        <v xml:space="preserve">      $1,000</v>
      </c>
      <c r="BC35" s="11" t="str">
        <f t="shared" si="14"/>
        <v/>
      </c>
      <c r="BD35" s="11" t="str">
        <f t="shared" si="14"/>
        <v/>
      </c>
      <c r="BE35" s="11" t="str">
        <f t="shared" si="14"/>
        <v xml:space="preserve">      $1,000</v>
      </c>
      <c r="BF35" s="11" t="str">
        <f t="shared" si="10"/>
        <v xml:space="preserve">   </v>
      </c>
      <c r="BG35" s="11" t="str">
        <f t="shared" si="10"/>
        <v>Merchandise (drop shipping)</v>
      </c>
      <c r="BH35" s="11" t="str">
        <f t="shared" si="10"/>
        <v xml:space="preserve">   </v>
      </c>
      <c r="BI35" s="11" t="str">
        <f t="shared" si="10"/>
        <v xml:space="preserve">   </v>
      </c>
      <c r="BJ35" s="11" t="str">
        <f t="shared" si="10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25">
      <c r="A36" s="4"/>
      <c r="B36" s="5" t="s">
        <v>138</v>
      </c>
      <c r="C36" s="5"/>
      <c r="D36" s="5"/>
      <c r="E36" s="5"/>
      <c r="F36" s="69">
        <f>'[5]FY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>
        <f t="shared" si="7"/>
        <v>30000</v>
      </c>
      <c r="U36" s="68"/>
      <c r="V36" s="68">
        <f t="shared" si="8"/>
        <v>30000</v>
      </c>
      <c r="W36" s="68">
        <f t="shared" si="9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1"/>
        <v xml:space="preserve">     $40,000</v>
      </c>
      <c r="AT36" s="11" t="str">
        <f t="shared" si="14"/>
        <v/>
      </c>
      <c r="AU36" s="11" t="str">
        <f t="shared" si="14"/>
        <v/>
      </c>
      <c r="AV36" s="11" t="str">
        <f t="shared" si="14"/>
        <v xml:space="preserve">     $10,000</v>
      </c>
      <c r="AW36" s="11" t="str">
        <f t="shared" si="14"/>
        <v/>
      </c>
      <c r="AX36" s="11" t="str">
        <f t="shared" si="14"/>
        <v/>
      </c>
      <c r="AY36" s="11" t="str">
        <f t="shared" si="14"/>
        <v xml:space="preserve">     $10,000</v>
      </c>
      <c r="AZ36" s="11" t="str">
        <f t="shared" si="14"/>
        <v/>
      </c>
      <c r="BA36" s="11" t="str">
        <f t="shared" si="14"/>
        <v/>
      </c>
      <c r="BB36" s="11" t="str">
        <f t="shared" si="14"/>
        <v xml:space="preserve">     $10,000</v>
      </c>
      <c r="BC36" s="11" t="str">
        <f t="shared" si="14"/>
        <v/>
      </c>
      <c r="BD36" s="11" t="str">
        <f t="shared" si="14"/>
        <v/>
      </c>
      <c r="BE36" s="11" t="str">
        <f t="shared" si="14"/>
        <v xml:space="preserve">     $10,000</v>
      </c>
      <c r="BF36" s="11" t="str">
        <f t="shared" si="10"/>
        <v xml:space="preserve">   </v>
      </c>
      <c r="BG36" s="11" t="str">
        <f t="shared" si="10"/>
        <v>Trademark licensing</v>
      </c>
      <c r="BH36" s="11" t="str">
        <f t="shared" si="10"/>
        <v xml:space="preserve">   </v>
      </c>
      <c r="BI36" s="11" t="str">
        <f t="shared" si="10"/>
        <v xml:space="preserve">   </v>
      </c>
      <c r="BJ36" s="11" t="str">
        <f t="shared" si="10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2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>
        <f>SUM(G37:P37)</f>
        <v>0</v>
      </c>
      <c r="U37" s="68"/>
      <c r="V37" s="68">
        <f t="shared" si="8"/>
        <v>0</v>
      </c>
      <c r="W37" s="68">
        <f t="shared" si="9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1"/>
        <v/>
      </c>
      <c r="AT37" s="11" t="str">
        <f t="shared" si="14"/>
        <v xml:space="preserve">          $0</v>
      </c>
      <c r="AU37" s="11" t="str">
        <f t="shared" si="14"/>
        <v xml:space="preserve">          $0</v>
      </c>
      <c r="AV37" s="11" t="str">
        <f t="shared" si="14"/>
        <v xml:space="preserve">          $0</v>
      </c>
      <c r="AW37" s="11" t="str">
        <f t="shared" si="14"/>
        <v xml:space="preserve">          $0</v>
      </c>
      <c r="AX37" s="11" t="str">
        <f t="shared" si="14"/>
        <v xml:space="preserve">          $0</v>
      </c>
      <c r="AY37" s="11" t="str">
        <f t="shared" si="14"/>
        <v xml:space="preserve">          $0</v>
      </c>
      <c r="AZ37" s="11" t="str">
        <f t="shared" si="14"/>
        <v xml:space="preserve">          $0</v>
      </c>
      <c r="BA37" s="11" t="str">
        <f t="shared" si="14"/>
        <v xml:space="preserve">          $0</v>
      </c>
      <c r="BB37" s="11" t="str">
        <f t="shared" si="14"/>
        <v xml:space="preserve">          $0</v>
      </c>
      <c r="BC37" s="11" t="str">
        <f t="shared" si="14"/>
        <v xml:space="preserve">          $0</v>
      </c>
      <c r="BD37" s="11" t="str">
        <f t="shared" si="14"/>
        <v xml:space="preserve">          $0</v>
      </c>
      <c r="BE37" s="11" t="str">
        <f t="shared" si="14"/>
        <v xml:space="preserve">          $0</v>
      </c>
      <c r="BF37" s="11" t="str">
        <f t="shared" si="10"/>
        <v xml:space="preserve">   </v>
      </c>
      <c r="BG37" s="11" t="str">
        <f t="shared" si="10"/>
        <v>Interest</v>
      </c>
      <c r="BH37" s="11" t="str">
        <f t="shared" si="10"/>
        <v xml:space="preserve">   </v>
      </c>
      <c r="BI37" s="11" t="str">
        <f t="shared" si="10"/>
        <v xml:space="preserve">   </v>
      </c>
      <c r="BJ37" s="11" t="str">
        <f t="shared" si="10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5">SUM(G7:G37)</f>
        <v>52499.999999999993</v>
      </c>
      <c r="H38" s="70">
        <f t="shared" si="15"/>
        <v>62499.999999999993</v>
      </c>
      <c r="I38" s="70">
        <f t="shared" si="15"/>
        <v>86000</v>
      </c>
      <c r="J38" s="70">
        <f t="shared" si="15"/>
        <v>52499.999999999993</v>
      </c>
      <c r="K38" s="70">
        <f t="shared" si="15"/>
        <v>152500</v>
      </c>
      <c r="L38" s="70">
        <f t="shared" si="15"/>
        <v>386000</v>
      </c>
      <c r="M38" s="70">
        <f t="shared" si="15"/>
        <v>58499.999999999993</v>
      </c>
      <c r="N38" s="70">
        <f t="shared" si="15"/>
        <v>52499.999999999993</v>
      </c>
      <c r="O38" s="70">
        <f t="shared" si="15"/>
        <v>311000</v>
      </c>
      <c r="P38" s="70">
        <f t="shared" si="15"/>
        <v>717500</v>
      </c>
      <c r="Q38" s="70">
        <f t="shared" si="15"/>
        <v>137500</v>
      </c>
      <c r="R38" s="70">
        <f t="shared" si="15"/>
        <v>86000</v>
      </c>
      <c r="S38" s="70">
        <f t="shared" si="15"/>
        <v>2155000</v>
      </c>
      <c r="T38" s="68">
        <f t="shared" ref="T38:T101" si="16">SUM(G38:P38)</f>
        <v>1931500</v>
      </c>
      <c r="U38" s="69"/>
      <c r="V38" s="68">
        <f t="shared" si="8"/>
        <v>2069000</v>
      </c>
      <c r="W38" s="68">
        <f t="shared" si="9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1"/>
        <v xml:space="preserve">  $2,155,000</v>
      </c>
      <c r="AT38" s="11" t="str">
        <f t="shared" si="14"/>
        <v xml:space="preserve">     $52,500</v>
      </c>
      <c r="AU38" s="11" t="str">
        <f t="shared" si="14"/>
        <v xml:space="preserve">     $62,500</v>
      </c>
      <c r="AV38" s="11" t="str">
        <f t="shared" si="14"/>
        <v xml:space="preserve">     $86,000</v>
      </c>
      <c r="AW38" s="11" t="str">
        <f t="shared" si="14"/>
        <v xml:space="preserve">     $52,500</v>
      </c>
      <c r="AX38" s="11" t="str">
        <f t="shared" si="14"/>
        <v xml:space="preserve">    $152,500</v>
      </c>
      <c r="AY38" s="11" t="str">
        <f t="shared" si="14"/>
        <v xml:space="preserve">    $386,000</v>
      </c>
      <c r="AZ38" s="11" t="str">
        <f t="shared" si="14"/>
        <v xml:space="preserve">     $58,500</v>
      </c>
      <c r="BA38" s="11" t="str">
        <f t="shared" si="14"/>
        <v xml:space="preserve">     $52,500</v>
      </c>
      <c r="BB38" s="11" t="str">
        <f t="shared" si="14"/>
        <v xml:space="preserve">    $311,000</v>
      </c>
      <c r="BC38" s="11" t="str">
        <f t="shared" si="14"/>
        <v xml:space="preserve">    $717,500</v>
      </c>
      <c r="BD38" s="11" t="str">
        <f t="shared" si="14"/>
        <v xml:space="preserve">    $137,500</v>
      </c>
      <c r="BE38" s="11" t="str">
        <f t="shared" si="14"/>
        <v xml:space="preserve">     $86,000</v>
      </c>
      <c r="BF38" s="11" t="str">
        <f t="shared" si="10"/>
        <v xml:space="preserve">   </v>
      </c>
      <c r="BG38" s="11" t="str">
        <f t="shared" si="10"/>
        <v xml:space="preserve">   </v>
      </c>
      <c r="BH38" s="11" t="str">
        <f t="shared" si="10"/>
        <v xml:space="preserve">   </v>
      </c>
      <c r="BI38" s="11" t="str">
        <f t="shared" si="10"/>
        <v xml:space="preserve">   </v>
      </c>
      <c r="BJ38" s="11" t="str">
        <f t="shared" si="10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8">
        <f t="shared" si="16"/>
        <v>0</v>
      </c>
      <c r="U39" s="15"/>
      <c r="V39" s="68">
        <f t="shared" si="8"/>
        <v>0</v>
      </c>
      <c r="W39" s="68">
        <f t="shared" si="9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1"/>
        <v xml:space="preserve">      $0,000</v>
      </c>
      <c r="AT39" s="11" t="str">
        <f t="shared" si="14"/>
        <v/>
      </c>
      <c r="AU39" s="11" t="str">
        <f t="shared" si="14"/>
        <v/>
      </c>
      <c r="AV39" s="11" t="str">
        <f t="shared" si="14"/>
        <v/>
      </c>
      <c r="AW39" s="11" t="str">
        <f t="shared" si="14"/>
        <v/>
      </c>
      <c r="AX39" s="11" t="str">
        <f t="shared" si="14"/>
        <v/>
      </c>
      <c r="AY39" s="11" t="str">
        <f t="shared" si="14"/>
        <v/>
      </c>
      <c r="AZ39" s="11" t="str">
        <f t="shared" si="14"/>
        <v/>
      </c>
      <c r="BA39" s="11" t="str">
        <f t="shared" si="14"/>
        <v/>
      </c>
      <c r="BB39" s="11" t="str">
        <f t="shared" si="14"/>
        <v/>
      </c>
      <c r="BC39" s="11" t="str">
        <f t="shared" si="14"/>
        <v/>
      </c>
      <c r="BD39" s="11" t="str">
        <f t="shared" si="14"/>
        <v/>
      </c>
      <c r="BE39" s="11" t="str">
        <f t="shared" si="14"/>
        <v/>
      </c>
      <c r="BF39" s="11" t="str">
        <f t="shared" si="10"/>
        <v xml:space="preserve">   </v>
      </c>
      <c r="BG39" s="11" t="str">
        <f t="shared" si="10"/>
        <v xml:space="preserve">   </v>
      </c>
      <c r="BH39" s="11" t="str">
        <f t="shared" si="10"/>
        <v xml:space="preserve">   </v>
      </c>
      <c r="BI39" s="11" t="str">
        <f t="shared" si="10"/>
        <v xml:space="preserve">   </v>
      </c>
      <c r="BJ39" s="11" t="str">
        <f t="shared" si="10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2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68">
        <f t="shared" si="16"/>
        <v>0</v>
      </c>
      <c r="U40" s="15"/>
      <c r="V40" s="68">
        <f t="shared" si="8"/>
        <v>0</v>
      </c>
      <c r="W40" s="68" t="str">
        <f t="shared" si="9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1"/>
        <v xml:space="preserve">        FY21</v>
      </c>
      <c r="AT40" s="10" t="str">
        <f t="shared" si="14"/>
        <v xml:space="preserve">         Jan</v>
      </c>
      <c r="AU40" s="10" t="str">
        <f t="shared" si="14"/>
        <v xml:space="preserve">         Feb</v>
      </c>
      <c r="AV40" s="10" t="str">
        <f t="shared" si="14"/>
        <v xml:space="preserve">         Mar</v>
      </c>
      <c r="AW40" s="10" t="str">
        <f t="shared" si="14"/>
        <v xml:space="preserve">         Apr</v>
      </c>
      <c r="AX40" s="10" t="str">
        <f t="shared" si="14"/>
        <v xml:space="preserve">         May</v>
      </c>
      <c r="AY40" s="10" t="str">
        <f t="shared" si="14"/>
        <v xml:space="preserve">         Jun</v>
      </c>
      <c r="AZ40" s="10" t="str">
        <f t="shared" si="14"/>
        <v xml:space="preserve">         Jul</v>
      </c>
      <c r="BA40" s="10" t="str">
        <f t="shared" si="14"/>
        <v xml:space="preserve">         Aug</v>
      </c>
      <c r="BB40" s="10" t="str">
        <f t="shared" si="14"/>
        <v xml:space="preserve">         Sep</v>
      </c>
      <c r="BC40" s="10" t="str">
        <f t="shared" si="14"/>
        <v xml:space="preserve">         Oct</v>
      </c>
      <c r="BD40" s="10" t="str">
        <f t="shared" si="14"/>
        <v xml:space="preserve">         Nov</v>
      </c>
      <c r="BE40" s="10" t="str">
        <f t="shared" si="14"/>
        <v xml:space="preserve">         Dec</v>
      </c>
      <c r="BF40" s="10" t="str">
        <f t="shared" si="10"/>
        <v>Expenses</v>
      </c>
      <c r="BG40" s="10" t="str">
        <f t="shared" si="10"/>
        <v xml:space="preserve">   </v>
      </c>
      <c r="BH40" s="10" t="str">
        <f t="shared" si="10"/>
        <v xml:space="preserve">   </v>
      </c>
      <c r="BI40" s="10" t="str">
        <f t="shared" si="10"/>
        <v xml:space="preserve">   </v>
      </c>
      <c r="BJ40" s="10" t="str">
        <f t="shared" si="10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186"/>
      <c r="Q41" s="9"/>
      <c r="R41" s="9"/>
      <c r="S41" s="15"/>
      <c r="T41" s="68">
        <f t="shared" si="16"/>
        <v>0</v>
      </c>
      <c r="U41" s="15"/>
      <c r="V41" s="68">
        <f t="shared" si="8"/>
        <v>0</v>
      </c>
      <c r="W41" s="68">
        <f t="shared" si="9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144</v>
      </c>
      <c r="D42" s="101"/>
      <c r="E42" s="105"/>
      <c r="F42" s="67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86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>
        <f t="shared" si="16"/>
        <v>152133.33333333334</v>
      </c>
      <c r="U42" s="68"/>
      <c r="V42" s="68">
        <f t="shared" si="8"/>
        <v>167346.66666666669</v>
      </c>
      <c r="W42" s="68">
        <f t="shared" si="9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s="75" t="str">
        <f>B4</f>
        <v>Conferences</v>
      </c>
      <c r="C43" s="105"/>
      <c r="D43" s="105"/>
      <c r="E43" s="105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86"/>
      <c r="Q43" s="19"/>
      <c r="R43" s="19"/>
      <c r="S43" s="68">
        <f t="shared" ref="S43:S101" si="17">SUM(G43:R43)</f>
        <v>0</v>
      </c>
      <c r="T43" s="68">
        <f t="shared" si="16"/>
        <v>0</v>
      </c>
      <c r="U43" s="68"/>
      <c r="V43" s="68">
        <f t="shared" si="8"/>
        <v>0</v>
      </c>
      <c r="W43" s="68">
        <f t="shared" si="9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86"/>
      <c r="Q44" s="19"/>
      <c r="R44" s="19"/>
      <c r="S44" s="68">
        <f t="shared" si="17"/>
        <v>0</v>
      </c>
      <c r="T44" s="68">
        <f t="shared" si="16"/>
        <v>0</v>
      </c>
      <c r="U44" s="68"/>
      <c r="V44" s="68">
        <f t="shared" si="8"/>
        <v>0</v>
      </c>
      <c r="W44" s="68">
        <f t="shared" si="9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105"/>
      <c r="D45" s="105" t="str">
        <f>D6</f>
        <v>Global AppSec</v>
      </c>
      <c r="E45" s="105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86"/>
      <c r="Q45" s="19"/>
      <c r="R45" s="19"/>
      <c r="S45" s="68">
        <f t="shared" si="17"/>
        <v>0</v>
      </c>
      <c r="T45" s="68">
        <f t="shared" si="16"/>
        <v>0</v>
      </c>
      <c r="U45" s="68"/>
      <c r="V45" s="68">
        <f t="shared" si="8"/>
        <v>0</v>
      </c>
      <c r="W45" s="68">
        <f t="shared" si="9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7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86"/>
      <c r="Q46" s="19"/>
      <c r="R46" s="19"/>
      <c r="S46" s="68">
        <f>SUM(G46:R46)</f>
        <v>50000</v>
      </c>
      <c r="T46" s="68">
        <f t="shared" si="16"/>
        <v>50000</v>
      </c>
      <c r="U46" s="68"/>
      <c r="V46" s="68">
        <f t="shared" si="8"/>
        <v>50000</v>
      </c>
      <c r="W46" s="68">
        <f t="shared" si="9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18">E8</f>
        <v>Global AppSec Virtual ASIA Pac</v>
      </c>
      <c r="F47" s="67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86"/>
      <c r="Q47" s="19"/>
      <c r="R47" s="19"/>
      <c r="S47" s="68">
        <f t="shared" si="17"/>
        <v>50000</v>
      </c>
      <c r="T47" s="68">
        <f t="shared" si="16"/>
        <v>50000</v>
      </c>
      <c r="U47" s="68"/>
      <c r="V47" s="68">
        <f t="shared" si="8"/>
        <v>50000</v>
      </c>
      <c r="W47" s="68">
        <f t="shared" si="9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18"/>
        <v>Global AppSec in person SF</v>
      </c>
      <c r="F48" s="67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86">
        <f>F48</f>
        <v>520000</v>
      </c>
      <c r="Q48" s="19"/>
      <c r="R48" s="19"/>
      <c r="S48" s="68">
        <f t="shared" si="17"/>
        <v>520000</v>
      </c>
      <c r="T48" s="68">
        <f t="shared" si="16"/>
        <v>520000</v>
      </c>
      <c r="U48" s="68"/>
      <c r="V48" s="68">
        <f t="shared" si="8"/>
        <v>520000</v>
      </c>
      <c r="W48" s="68">
        <f t="shared" si="9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101" t="str">
        <f>D16</f>
        <v>AppSec Days</v>
      </c>
      <c r="E49" s="101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86"/>
      <c r="Q49" s="19"/>
      <c r="R49" s="19"/>
      <c r="S49" s="68">
        <f t="shared" si="17"/>
        <v>0</v>
      </c>
      <c r="T49" s="68">
        <f t="shared" si="16"/>
        <v>0</v>
      </c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86"/>
      <c r="Q50" s="19"/>
      <c r="R50" s="19"/>
      <c r="S50" s="68">
        <f t="shared" si="17"/>
        <v>0</v>
      </c>
      <c r="T50" s="68">
        <f t="shared" si="16"/>
        <v>0</v>
      </c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s="75" t="str">
        <f>E18</f>
        <v>LASCON 2022</v>
      </c>
      <c r="F51" s="67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86"/>
      <c r="Q51" s="19">
        <f>F51</f>
        <v>55000</v>
      </c>
      <c r="R51" s="19"/>
      <c r="S51" s="68">
        <f t="shared" si="17"/>
        <v>55000</v>
      </c>
      <c r="T51" s="68">
        <f t="shared" si="16"/>
        <v>0</v>
      </c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86"/>
      <c r="Q52" s="19"/>
      <c r="R52" s="19"/>
      <c r="S52" s="68">
        <f t="shared" si="17"/>
        <v>0</v>
      </c>
      <c r="T52" s="68">
        <f t="shared" si="16"/>
        <v>0</v>
      </c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s="75" t="str">
        <f>'[5]FY 22 Bud by account'!D48</f>
        <v>Career Fair</v>
      </c>
      <c r="F53" s="67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86"/>
      <c r="Q53" s="19"/>
      <c r="R53" s="19">
        <v>1875</v>
      </c>
      <c r="S53" s="68">
        <f t="shared" si="17"/>
        <v>7500</v>
      </c>
      <c r="T53" s="68">
        <f t="shared" si="16"/>
        <v>5625</v>
      </c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s="75" t="str">
        <f>'[5]FY 22 Bud by account'!D49</f>
        <v>Training</v>
      </c>
      <c r="F54" s="67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86"/>
      <c r="Q54" s="19"/>
      <c r="R54" s="19">
        <f>F54/4</f>
        <v>4520</v>
      </c>
      <c r="S54" s="68">
        <f t="shared" si="17"/>
        <v>18080</v>
      </c>
      <c r="T54" s="68">
        <f t="shared" si="16"/>
        <v>13560</v>
      </c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>
        <f t="shared" si="16"/>
        <v>0</v>
      </c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>
        <f t="shared" si="16"/>
        <v>0</v>
      </c>
      <c r="U56" s="68"/>
      <c r="V56" s="68">
        <f t="shared" si="8"/>
        <v>0</v>
      </c>
      <c r="W56" s="68">
        <f t="shared" si="9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>
        <f t="shared" si="16"/>
        <v>0</v>
      </c>
      <c r="U57" s="68"/>
      <c r="V57" s="68">
        <f t="shared" si="8"/>
        <v>0</v>
      </c>
      <c r="W57" s="68">
        <f t="shared" si="9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>
        <f t="shared" si="16"/>
        <v>0</v>
      </c>
      <c r="U58" s="68"/>
      <c r="V58" s="68">
        <f t="shared" si="8"/>
        <v>0</v>
      </c>
      <c r="W58" s="68">
        <f t="shared" si="9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156</v>
      </c>
      <c r="D59" s="5"/>
      <c r="E59" s="5"/>
      <c r="F59" s="67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7"/>
        <v>90000</v>
      </c>
      <c r="T59" s="68">
        <f t="shared" si="16"/>
        <v>90000</v>
      </c>
      <c r="U59" s="68"/>
      <c r="V59" s="68">
        <f t="shared" si="8"/>
        <v>90000</v>
      </c>
      <c r="W59" s="68">
        <f t="shared" si="9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7"/>
        <v>0</v>
      </c>
      <c r="T60" s="68">
        <f t="shared" si="16"/>
        <v>0</v>
      </c>
      <c r="U60" s="68"/>
      <c r="V60" s="68">
        <f t="shared" si="8"/>
        <v>0</v>
      </c>
      <c r="W60" s="68">
        <f t="shared" si="9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140</v>
      </c>
      <c r="D61" s="5"/>
      <c r="E61" s="5"/>
      <c r="F61" s="67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7"/>
        <v>60000</v>
      </c>
      <c r="T61" s="68">
        <f t="shared" si="16"/>
        <v>50000</v>
      </c>
      <c r="U61" s="68"/>
      <c r="V61" s="68">
        <f t="shared" si="8"/>
        <v>55000</v>
      </c>
      <c r="W61" s="68">
        <f t="shared" si="9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7"/>
        <v>0</v>
      </c>
      <c r="T62" s="68">
        <f t="shared" si="16"/>
        <v>0</v>
      </c>
      <c r="U62" s="68"/>
      <c r="V62" s="68">
        <f t="shared" si="8"/>
        <v>0</v>
      </c>
      <c r="W62" s="68">
        <f t="shared" si="9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7"/>
        <v>0</v>
      </c>
      <c r="T63" s="68">
        <f t="shared" si="16"/>
        <v>0</v>
      </c>
      <c r="U63" s="68"/>
      <c r="V63" s="68">
        <f t="shared" si="8"/>
        <v>0</v>
      </c>
      <c r="W63" s="68">
        <f t="shared" si="9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160</v>
      </c>
      <c r="D64" s="5"/>
      <c r="E64" s="5"/>
      <c r="F64" s="67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7"/>
        <v>18000</v>
      </c>
      <c r="T64" s="68">
        <f t="shared" si="16"/>
        <v>15000</v>
      </c>
      <c r="U64" s="68"/>
      <c r="V64" s="68">
        <f t="shared" si="8"/>
        <v>16500</v>
      </c>
      <c r="W64" s="68">
        <f t="shared" si="9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144</v>
      </c>
      <c r="D65" s="5"/>
      <c r="E65" s="5"/>
      <c r="F65" s="67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7"/>
        <v>183813.47040000002</v>
      </c>
      <c r="T65" s="68">
        <f t="shared" si="16"/>
        <v>153177.89200000002</v>
      </c>
      <c r="U65" s="68"/>
      <c r="V65" s="68">
        <f t="shared" si="8"/>
        <v>168495.68120000002</v>
      </c>
      <c r="W65" s="68">
        <f t="shared" si="9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7"/>
        <v>0</v>
      </c>
      <c r="T66" s="68">
        <f t="shared" si="16"/>
        <v>0</v>
      </c>
      <c r="U66" s="68"/>
      <c r="V66" s="68">
        <f t="shared" si="8"/>
        <v>0</v>
      </c>
      <c r="W66" s="68">
        <f t="shared" si="9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7"/>
        <v>0</v>
      </c>
      <c r="T67" s="68">
        <f t="shared" si="16"/>
        <v>0</v>
      </c>
      <c r="U67" s="68"/>
      <c r="V67" s="68">
        <f t="shared" si="8"/>
        <v>0</v>
      </c>
      <c r="W67" s="68">
        <f t="shared" si="9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7"/>
        <v>0</v>
      </c>
      <c r="T68" s="68">
        <f t="shared" si="16"/>
        <v>0</v>
      </c>
      <c r="U68" s="68"/>
      <c r="V68" s="68">
        <f t="shared" si="8"/>
        <v>0</v>
      </c>
      <c r="W68" s="68">
        <f t="shared" si="9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7"/>
        <v>0</v>
      </c>
      <c r="T69" s="68">
        <f t="shared" si="16"/>
        <v>0</v>
      </c>
      <c r="U69" s="68"/>
      <c r="V69" s="68">
        <f t="shared" si="8"/>
        <v>0</v>
      </c>
      <c r="W69" s="68">
        <f t="shared" si="9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7"/>
        <v>0</v>
      </c>
      <c r="T70" s="68">
        <f t="shared" si="16"/>
        <v>0</v>
      </c>
      <c r="U70" s="68"/>
      <c r="V70" s="68">
        <f t="shared" si="8"/>
        <v>0</v>
      </c>
      <c r="W70" s="68">
        <f t="shared" si="9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7"/>
        <v>0</v>
      </c>
      <c r="T71" s="68">
        <f t="shared" si="16"/>
        <v>0</v>
      </c>
      <c r="U71" s="68"/>
      <c r="V71" s="68">
        <f t="shared" si="8"/>
        <v>0</v>
      </c>
      <c r="W71" s="68">
        <f t="shared" si="9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165</v>
      </c>
      <c r="D72" s="5"/>
      <c r="E72" s="5"/>
      <c r="F72" s="67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7"/>
        <v>9000</v>
      </c>
      <c r="T72" s="68">
        <f t="shared" si="16"/>
        <v>7500</v>
      </c>
      <c r="U72" s="68"/>
      <c r="V72" s="68">
        <f t="shared" si="8"/>
        <v>8250</v>
      </c>
      <c r="W72" s="68">
        <f t="shared" si="9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7"/>
        <v>0</v>
      </c>
      <c r="T73" s="68">
        <f t="shared" si="16"/>
        <v>0</v>
      </c>
      <c r="U73" s="68"/>
      <c r="V73" s="68">
        <f t="shared" ref="V73:V134" si="19">SUM(G73:Q73)</f>
        <v>0</v>
      </c>
      <c r="W73" s="68">
        <f t="shared" ref="W73:W134" si="20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7"/>
        <v>0</v>
      </c>
      <c r="T74" s="68">
        <f t="shared" si="16"/>
        <v>0</v>
      </c>
      <c r="U74" s="68"/>
      <c r="V74" s="68">
        <f t="shared" si="19"/>
        <v>0</v>
      </c>
      <c r="W74" s="68">
        <f t="shared" si="20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160</v>
      </c>
      <c r="D75" s="5"/>
      <c r="E75" s="5"/>
      <c r="F75" s="67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7"/>
        <v>18000</v>
      </c>
      <c r="T75" s="68">
        <f t="shared" si="16"/>
        <v>15000</v>
      </c>
      <c r="U75" s="68"/>
      <c r="V75" s="68">
        <f t="shared" si="19"/>
        <v>16500</v>
      </c>
      <c r="W75" s="68">
        <f t="shared" si="20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144</v>
      </c>
      <c r="D76" s="5"/>
      <c r="E76" s="5"/>
      <c r="F76" s="67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7"/>
        <v>81009.314399999974</v>
      </c>
      <c r="T76" s="68">
        <f t="shared" si="16"/>
        <v>67507.761999999988</v>
      </c>
      <c r="U76" s="68"/>
      <c r="V76" s="68">
        <f t="shared" si="19"/>
        <v>74258.538199999981</v>
      </c>
      <c r="W76" s="68">
        <f t="shared" si="20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7"/>
        <v>0</v>
      </c>
      <c r="T77" s="68">
        <f t="shared" si="16"/>
        <v>0</v>
      </c>
      <c r="U77" s="68"/>
      <c r="V77" s="68">
        <f t="shared" si="19"/>
        <v>0</v>
      </c>
      <c r="W77" s="68">
        <f t="shared" si="20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1"/>
        <v/>
      </c>
      <c r="AT77" s="11" t="str">
        <f t="shared" ref="AT77:BE92" si="21">IF(ISBLANK(G77),"",RIGHT(REPT(" ",15)&amp;TEXT(G77,"$#,##0"),12))</f>
        <v/>
      </c>
      <c r="AU77" s="11" t="str">
        <f t="shared" si="21"/>
        <v/>
      </c>
      <c r="AV77" s="11" t="str">
        <f t="shared" si="21"/>
        <v/>
      </c>
      <c r="AW77" s="11" t="str">
        <f t="shared" si="21"/>
        <v/>
      </c>
      <c r="AX77" s="11" t="str">
        <f t="shared" si="21"/>
        <v/>
      </c>
      <c r="AY77" s="11" t="str">
        <f t="shared" si="21"/>
        <v/>
      </c>
      <c r="AZ77" s="11" t="str">
        <f t="shared" si="21"/>
        <v/>
      </c>
      <c r="BA77" s="11" t="str">
        <f t="shared" si="21"/>
        <v/>
      </c>
      <c r="BB77" s="11" t="str">
        <f t="shared" si="21"/>
        <v/>
      </c>
      <c r="BC77" s="11" t="str">
        <f t="shared" si="21"/>
        <v/>
      </c>
      <c r="BD77" s="11" t="str">
        <f t="shared" si="21"/>
        <v/>
      </c>
      <c r="BE77" s="11" t="str">
        <f t="shared" si="21"/>
        <v/>
      </c>
      <c r="BF77" s="11" t="str">
        <f t="shared" ref="BF77:BJ92" si="22">IF(ISBLANK(A77),"   ",A77)</f>
        <v xml:space="preserve">   </v>
      </c>
      <c r="BG77" s="11" t="str">
        <f t="shared" si="22"/>
        <v xml:space="preserve">   </v>
      </c>
      <c r="BH77" s="11" t="str">
        <f t="shared" si="22"/>
        <v>Local Partnerships</v>
      </c>
      <c r="BI77" s="11" t="str">
        <f t="shared" si="22"/>
        <v xml:space="preserve">   </v>
      </c>
      <c r="BJ77" s="11" t="str">
        <f t="shared" si="22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2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7"/>
        <v>0</v>
      </c>
      <c r="T78" s="68">
        <f t="shared" si="16"/>
        <v>0</v>
      </c>
      <c r="U78" s="68"/>
      <c r="V78" s="68">
        <f t="shared" si="19"/>
        <v>0</v>
      </c>
      <c r="W78" s="68">
        <f t="shared" si="20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1"/>
        <v/>
      </c>
      <c r="AT78" s="11" t="str">
        <f t="shared" si="21"/>
        <v/>
      </c>
      <c r="AU78" s="11" t="str">
        <f t="shared" si="21"/>
        <v/>
      </c>
      <c r="AV78" s="11" t="str">
        <f t="shared" si="21"/>
        <v/>
      </c>
      <c r="AW78" s="11" t="str">
        <f t="shared" si="21"/>
        <v/>
      </c>
      <c r="AX78" s="11" t="str">
        <f t="shared" si="21"/>
        <v/>
      </c>
      <c r="AY78" s="11" t="str">
        <f t="shared" si="21"/>
        <v/>
      </c>
      <c r="AZ78" s="11" t="str">
        <f t="shared" si="21"/>
        <v/>
      </c>
      <c r="BA78" s="11" t="str">
        <f t="shared" si="21"/>
        <v/>
      </c>
      <c r="BB78" s="11" t="str">
        <f t="shared" si="21"/>
        <v/>
      </c>
      <c r="BC78" s="11" t="str">
        <f t="shared" si="21"/>
        <v/>
      </c>
      <c r="BD78" s="11" t="str">
        <f t="shared" si="21"/>
        <v/>
      </c>
      <c r="BE78" s="11" t="str">
        <f t="shared" si="21"/>
        <v/>
      </c>
      <c r="BF78" s="11" t="str">
        <f t="shared" si="22"/>
        <v xml:space="preserve">   </v>
      </c>
      <c r="BG78" s="11" t="str">
        <f t="shared" si="22"/>
        <v xml:space="preserve">   </v>
      </c>
      <c r="BH78" s="11" t="str">
        <f t="shared" si="22"/>
        <v>Global Partnerships</v>
      </c>
      <c r="BI78" s="11" t="str">
        <f t="shared" si="22"/>
        <v xml:space="preserve">   </v>
      </c>
      <c r="BJ78" s="11" t="str">
        <f t="shared" si="22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2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7"/>
        <v>0</v>
      </c>
      <c r="T79" s="68">
        <f t="shared" si="16"/>
        <v>0</v>
      </c>
      <c r="U79" s="68"/>
      <c r="V79" s="68">
        <f t="shared" si="19"/>
        <v>0</v>
      </c>
      <c r="W79" s="68">
        <f t="shared" si="20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1"/>
        <v/>
      </c>
      <c r="AT79" s="11" t="str">
        <f t="shared" si="21"/>
        <v/>
      </c>
      <c r="AU79" s="11" t="str">
        <f t="shared" si="21"/>
        <v/>
      </c>
      <c r="AV79" s="11" t="str">
        <f t="shared" si="21"/>
        <v/>
      </c>
      <c r="AW79" s="11" t="str">
        <f t="shared" si="21"/>
        <v/>
      </c>
      <c r="AX79" s="11" t="str">
        <f t="shared" si="21"/>
        <v/>
      </c>
      <c r="AY79" s="11" t="str">
        <f t="shared" si="21"/>
        <v/>
      </c>
      <c r="AZ79" s="11" t="str">
        <f t="shared" si="21"/>
        <v/>
      </c>
      <c r="BA79" s="11" t="str">
        <f t="shared" si="21"/>
        <v/>
      </c>
      <c r="BB79" s="11" t="str">
        <f t="shared" si="21"/>
        <v/>
      </c>
      <c r="BC79" s="11" t="str">
        <f t="shared" si="21"/>
        <v/>
      </c>
      <c r="BD79" s="11" t="str">
        <f t="shared" si="21"/>
        <v/>
      </c>
      <c r="BE79" s="11" t="str">
        <f t="shared" si="21"/>
        <v/>
      </c>
      <c r="BF79" s="11" t="str">
        <f t="shared" si="22"/>
        <v xml:space="preserve">   </v>
      </c>
      <c r="BG79" s="11" t="str">
        <f t="shared" si="22"/>
        <v xml:space="preserve">   </v>
      </c>
      <c r="BH79" s="11" t="str">
        <f t="shared" si="22"/>
        <v>Online</v>
      </c>
      <c r="BI79" s="11" t="str">
        <f t="shared" si="22"/>
        <v xml:space="preserve">   </v>
      </c>
      <c r="BJ79" s="11" t="str">
        <f t="shared" si="22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2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7"/>
        <v>0</v>
      </c>
      <c r="T80" s="68">
        <f t="shared" si="16"/>
        <v>0</v>
      </c>
      <c r="U80" s="68"/>
      <c r="V80" s="68">
        <f t="shared" si="19"/>
        <v>0</v>
      </c>
      <c r="W80" s="68">
        <f t="shared" si="20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1"/>
        <v/>
      </c>
      <c r="AT80" s="11" t="str">
        <f t="shared" si="21"/>
        <v/>
      </c>
      <c r="AU80" s="11" t="str">
        <f t="shared" si="21"/>
        <v/>
      </c>
      <c r="AV80" s="11" t="str">
        <f t="shared" si="21"/>
        <v/>
      </c>
      <c r="AW80" s="11" t="str">
        <f t="shared" si="21"/>
        <v/>
      </c>
      <c r="AX80" s="11" t="str">
        <f t="shared" si="21"/>
        <v/>
      </c>
      <c r="AY80" s="11" t="str">
        <f t="shared" si="21"/>
        <v/>
      </c>
      <c r="AZ80" s="11" t="str">
        <f t="shared" si="21"/>
        <v/>
      </c>
      <c r="BA80" s="11" t="str">
        <f t="shared" si="21"/>
        <v/>
      </c>
      <c r="BB80" s="11" t="str">
        <f t="shared" si="21"/>
        <v/>
      </c>
      <c r="BC80" s="11" t="str">
        <f t="shared" si="21"/>
        <v/>
      </c>
      <c r="BD80" s="11" t="str">
        <f t="shared" si="21"/>
        <v/>
      </c>
      <c r="BE80" s="11" t="str">
        <f t="shared" si="21"/>
        <v/>
      </c>
      <c r="BF80" s="11" t="str">
        <f t="shared" si="22"/>
        <v xml:space="preserve">   </v>
      </c>
      <c r="BG80" s="11" t="str">
        <f t="shared" si="22"/>
        <v xml:space="preserve">   </v>
      </c>
      <c r="BH80" s="11" t="str">
        <f t="shared" si="22"/>
        <v>Branding &amp; Trademarks</v>
      </c>
      <c r="BI80" s="11" t="str">
        <f t="shared" si="22"/>
        <v xml:space="preserve">   </v>
      </c>
      <c r="BJ80" s="11" t="str">
        <f t="shared" si="22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2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7"/>
        <v>0</v>
      </c>
      <c r="T81" s="68">
        <f t="shared" si="16"/>
        <v>0</v>
      </c>
      <c r="U81" s="68"/>
      <c r="V81" s="68">
        <f t="shared" si="19"/>
        <v>0</v>
      </c>
      <c r="W81" s="68">
        <f t="shared" si="20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1"/>
        <v/>
      </c>
      <c r="AT81" s="11" t="str">
        <f t="shared" si="21"/>
        <v/>
      </c>
      <c r="AU81" s="11" t="str">
        <f t="shared" si="21"/>
        <v/>
      </c>
      <c r="AV81" s="11" t="str">
        <f t="shared" si="21"/>
        <v/>
      </c>
      <c r="AW81" s="11" t="str">
        <f t="shared" si="21"/>
        <v/>
      </c>
      <c r="AX81" s="11" t="str">
        <f t="shared" si="21"/>
        <v/>
      </c>
      <c r="AY81" s="11" t="str">
        <f t="shared" si="21"/>
        <v/>
      </c>
      <c r="AZ81" s="11" t="str">
        <f t="shared" si="21"/>
        <v/>
      </c>
      <c r="BA81" s="11" t="str">
        <f t="shared" si="21"/>
        <v/>
      </c>
      <c r="BB81" s="11" t="str">
        <f t="shared" si="21"/>
        <v/>
      </c>
      <c r="BC81" s="11" t="str">
        <f t="shared" si="21"/>
        <v/>
      </c>
      <c r="BD81" s="11" t="str">
        <f t="shared" si="21"/>
        <v/>
      </c>
      <c r="BE81" s="11" t="str">
        <f t="shared" si="21"/>
        <v/>
      </c>
      <c r="BF81" s="11" t="str">
        <f t="shared" si="22"/>
        <v xml:space="preserve">   </v>
      </c>
      <c r="BG81" s="11" t="str">
        <f t="shared" si="22"/>
        <v xml:space="preserve">   </v>
      </c>
      <c r="BH81" s="11" t="str">
        <f t="shared" si="22"/>
        <v>Event Promotions</v>
      </c>
      <c r="BI81" s="11" t="str">
        <f t="shared" si="22"/>
        <v xml:space="preserve">   </v>
      </c>
      <c r="BJ81" s="11" t="str">
        <f t="shared" si="22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2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7"/>
        <v>0</v>
      </c>
      <c r="T82" s="68">
        <f t="shared" si="16"/>
        <v>0</v>
      </c>
      <c r="U82" s="68"/>
      <c r="V82" s="68">
        <f t="shared" si="19"/>
        <v>0</v>
      </c>
      <c r="W82" s="68">
        <f t="shared" si="20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1"/>
        <v/>
      </c>
      <c r="AT82" s="11" t="str">
        <f t="shared" si="21"/>
        <v/>
      </c>
      <c r="AU82" s="11" t="str">
        <f t="shared" si="21"/>
        <v/>
      </c>
      <c r="AV82" s="11" t="str">
        <f t="shared" si="21"/>
        <v/>
      </c>
      <c r="AW82" s="11" t="str">
        <f t="shared" si="21"/>
        <v/>
      </c>
      <c r="AX82" s="11" t="str">
        <f t="shared" si="21"/>
        <v/>
      </c>
      <c r="AY82" s="11" t="str">
        <f t="shared" si="21"/>
        <v/>
      </c>
      <c r="AZ82" s="11" t="str">
        <f t="shared" si="21"/>
        <v/>
      </c>
      <c r="BA82" s="11" t="str">
        <f t="shared" si="21"/>
        <v/>
      </c>
      <c r="BB82" s="11" t="str">
        <f t="shared" si="21"/>
        <v/>
      </c>
      <c r="BC82" s="11" t="str">
        <f t="shared" si="21"/>
        <v/>
      </c>
      <c r="BD82" s="11" t="str">
        <f t="shared" si="21"/>
        <v/>
      </c>
      <c r="BE82" s="11" t="str">
        <f t="shared" si="21"/>
        <v/>
      </c>
      <c r="BF82" s="11" t="str">
        <f t="shared" si="22"/>
        <v xml:space="preserve">   </v>
      </c>
      <c r="BG82" s="11" t="str">
        <f t="shared" si="22"/>
        <v xml:space="preserve">   </v>
      </c>
      <c r="BH82" s="11" t="str">
        <f t="shared" si="22"/>
        <v>Public Relations</v>
      </c>
      <c r="BI82" s="11" t="str">
        <f t="shared" si="22"/>
        <v xml:space="preserve">   </v>
      </c>
      <c r="BJ82" s="11" t="str">
        <f t="shared" si="22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2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7"/>
        <v>0</v>
      </c>
      <c r="T83" s="68">
        <f t="shared" si="16"/>
        <v>0</v>
      </c>
      <c r="U83" s="68"/>
      <c r="V83" s="68">
        <f t="shared" si="19"/>
        <v>0</v>
      </c>
      <c r="W83" s="68">
        <f t="shared" si="20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1"/>
        <v/>
      </c>
      <c r="AT83" s="11" t="str">
        <f t="shared" si="21"/>
        <v/>
      </c>
      <c r="AU83" s="11" t="str">
        <f t="shared" si="21"/>
        <v/>
      </c>
      <c r="AV83" s="11" t="str">
        <f t="shared" si="21"/>
        <v/>
      </c>
      <c r="AW83" s="11" t="str">
        <f t="shared" si="21"/>
        <v/>
      </c>
      <c r="AX83" s="11" t="str">
        <f t="shared" si="21"/>
        <v/>
      </c>
      <c r="AY83" s="11" t="str">
        <f t="shared" si="21"/>
        <v/>
      </c>
      <c r="AZ83" s="11" t="str">
        <f t="shared" si="21"/>
        <v/>
      </c>
      <c r="BA83" s="11" t="str">
        <f t="shared" si="21"/>
        <v/>
      </c>
      <c r="BB83" s="11" t="str">
        <f t="shared" si="21"/>
        <v/>
      </c>
      <c r="BC83" s="11" t="str">
        <f t="shared" si="21"/>
        <v/>
      </c>
      <c r="BD83" s="11" t="str">
        <f t="shared" si="21"/>
        <v/>
      </c>
      <c r="BE83" s="11" t="str">
        <f t="shared" si="21"/>
        <v/>
      </c>
      <c r="BF83" s="11" t="str">
        <f t="shared" si="22"/>
        <v xml:space="preserve">   </v>
      </c>
      <c r="BG83" s="11" t="str">
        <f t="shared" si="22"/>
        <v xml:space="preserve">   </v>
      </c>
      <c r="BH83" s="11" t="str">
        <f t="shared" si="22"/>
        <v xml:space="preserve">   </v>
      </c>
      <c r="BI83" s="11" t="str">
        <f t="shared" si="22"/>
        <v xml:space="preserve">   </v>
      </c>
      <c r="BJ83" s="11" t="str">
        <f t="shared" si="22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2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7"/>
        <v>0</v>
      </c>
      <c r="T84" s="68">
        <f t="shared" si="16"/>
        <v>0</v>
      </c>
      <c r="U84" s="68"/>
      <c r="V84" s="68">
        <f t="shared" si="19"/>
        <v>0</v>
      </c>
      <c r="W84" s="68">
        <f t="shared" si="20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1"/>
        <v/>
      </c>
      <c r="AT84" s="11" t="str">
        <f t="shared" si="21"/>
        <v/>
      </c>
      <c r="AU84" s="11" t="str">
        <f t="shared" si="21"/>
        <v/>
      </c>
      <c r="AV84" s="11" t="str">
        <f t="shared" si="21"/>
        <v/>
      </c>
      <c r="AW84" s="11" t="str">
        <f t="shared" si="21"/>
        <v/>
      </c>
      <c r="AX84" s="11" t="str">
        <f t="shared" si="21"/>
        <v/>
      </c>
      <c r="AY84" s="11" t="str">
        <f t="shared" si="21"/>
        <v/>
      </c>
      <c r="AZ84" s="11" t="str">
        <f t="shared" si="21"/>
        <v/>
      </c>
      <c r="BA84" s="11" t="str">
        <f t="shared" si="21"/>
        <v/>
      </c>
      <c r="BB84" s="11" t="str">
        <f t="shared" si="21"/>
        <v/>
      </c>
      <c r="BC84" s="11" t="str">
        <f t="shared" si="21"/>
        <v/>
      </c>
      <c r="BD84" s="11" t="str">
        <f t="shared" si="21"/>
        <v/>
      </c>
      <c r="BE84" s="11" t="str">
        <f t="shared" si="21"/>
        <v/>
      </c>
      <c r="BF84" s="11" t="str">
        <f t="shared" si="22"/>
        <v xml:space="preserve">   </v>
      </c>
      <c r="BG84" s="11" t="str">
        <f t="shared" si="22"/>
        <v>Chapters and Members Program</v>
      </c>
      <c r="BH84" s="11" t="str">
        <f t="shared" si="22"/>
        <v xml:space="preserve">   </v>
      </c>
      <c r="BI84" s="11" t="str">
        <f t="shared" si="22"/>
        <v xml:space="preserve">   </v>
      </c>
      <c r="BJ84" s="11" t="str">
        <f t="shared" si="22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2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7"/>
        <v>0</v>
      </c>
      <c r="T85" s="68">
        <f t="shared" si="16"/>
        <v>0</v>
      </c>
      <c r="U85" s="68"/>
      <c r="V85" s="68">
        <f t="shared" si="19"/>
        <v>0</v>
      </c>
      <c r="W85" s="68">
        <f t="shared" si="20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1"/>
        <v/>
      </c>
      <c r="AT85" s="11" t="str">
        <f t="shared" si="21"/>
        <v/>
      </c>
      <c r="AU85" s="11" t="str">
        <f t="shared" si="21"/>
        <v/>
      </c>
      <c r="AV85" s="11" t="str">
        <f t="shared" si="21"/>
        <v/>
      </c>
      <c r="AW85" s="11" t="str">
        <f t="shared" si="21"/>
        <v/>
      </c>
      <c r="AX85" s="11" t="str">
        <f t="shared" si="21"/>
        <v/>
      </c>
      <c r="AY85" s="11" t="str">
        <f t="shared" si="21"/>
        <v/>
      </c>
      <c r="AZ85" s="11" t="str">
        <f t="shared" si="21"/>
        <v/>
      </c>
      <c r="BA85" s="11" t="str">
        <f t="shared" si="21"/>
        <v/>
      </c>
      <c r="BB85" s="11" t="str">
        <f t="shared" si="21"/>
        <v/>
      </c>
      <c r="BC85" s="11" t="str">
        <f t="shared" si="21"/>
        <v/>
      </c>
      <c r="BD85" s="11" t="str">
        <f t="shared" si="21"/>
        <v/>
      </c>
      <c r="BE85" s="11" t="str">
        <f t="shared" si="21"/>
        <v/>
      </c>
      <c r="BF85" s="11" t="str">
        <f t="shared" si="22"/>
        <v xml:space="preserve">   </v>
      </c>
      <c r="BG85" s="11" t="str">
        <f t="shared" si="22"/>
        <v xml:space="preserve">   </v>
      </c>
      <c r="BH85" s="11" t="str">
        <f t="shared" si="22"/>
        <v>Grants</v>
      </c>
      <c r="BI85" s="11" t="str">
        <f t="shared" si="22"/>
        <v xml:space="preserve">   </v>
      </c>
      <c r="BJ85" s="11" t="str">
        <f t="shared" si="22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2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7"/>
        <v>0</v>
      </c>
      <c r="T86" s="68">
        <f t="shared" si="16"/>
        <v>0</v>
      </c>
      <c r="U86" s="68"/>
      <c r="V86" s="68">
        <f t="shared" si="19"/>
        <v>0</v>
      </c>
      <c r="W86" s="68">
        <f t="shared" si="20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1"/>
        <v/>
      </c>
      <c r="AT86" s="11" t="str">
        <f t="shared" si="21"/>
        <v/>
      </c>
      <c r="AU86" s="11" t="str">
        <f t="shared" si="21"/>
        <v/>
      </c>
      <c r="AV86" s="11" t="str">
        <f t="shared" si="21"/>
        <v/>
      </c>
      <c r="AW86" s="11" t="str">
        <f t="shared" si="21"/>
        <v/>
      </c>
      <c r="AX86" s="11" t="str">
        <f t="shared" si="21"/>
        <v/>
      </c>
      <c r="AY86" s="11" t="str">
        <f t="shared" si="21"/>
        <v/>
      </c>
      <c r="AZ86" s="11" t="str">
        <f t="shared" si="21"/>
        <v/>
      </c>
      <c r="BA86" s="11" t="str">
        <f t="shared" si="21"/>
        <v/>
      </c>
      <c r="BB86" s="11" t="str">
        <f t="shared" si="21"/>
        <v/>
      </c>
      <c r="BC86" s="11" t="str">
        <f t="shared" si="21"/>
        <v/>
      </c>
      <c r="BD86" s="11" t="str">
        <f t="shared" si="21"/>
        <v/>
      </c>
      <c r="BE86" s="11" t="str">
        <f t="shared" si="21"/>
        <v/>
      </c>
      <c r="BF86" s="11" t="str">
        <f t="shared" si="22"/>
        <v xml:space="preserve">   </v>
      </c>
      <c r="BG86" s="11" t="str">
        <f t="shared" si="22"/>
        <v xml:space="preserve">   </v>
      </c>
      <c r="BH86" s="11" t="str">
        <f t="shared" si="22"/>
        <v>Expenses</v>
      </c>
      <c r="BI86" s="11" t="str">
        <f t="shared" si="22"/>
        <v xml:space="preserve">   </v>
      </c>
      <c r="BJ86" s="11" t="str">
        <f t="shared" si="22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25">
      <c r="A87" s="4"/>
      <c r="B87" s="5"/>
      <c r="C87" s="5" t="s">
        <v>7746</v>
      </c>
      <c r="D87" s="5"/>
      <c r="E87" s="5"/>
      <c r="F87" s="67">
        <f>'[5]FY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7"/>
        <v>30000</v>
      </c>
      <c r="T87" s="68">
        <f t="shared" si="16"/>
        <v>30000</v>
      </c>
      <c r="U87" s="68"/>
      <c r="V87" s="68">
        <f t="shared" si="19"/>
        <v>30000</v>
      </c>
      <c r="W87" s="68">
        <f t="shared" si="20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1"/>
        <v xml:space="preserve">     $30,000</v>
      </c>
      <c r="AT87" s="11" t="str">
        <f t="shared" si="21"/>
        <v/>
      </c>
      <c r="AU87" s="11" t="str">
        <f t="shared" si="21"/>
        <v/>
      </c>
      <c r="AV87" s="11" t="str">
        <f t="shared" si="21"/>
        <v xml:space="preserve">     $10,000</v>
      </c>
      <c r="AW87" s="11" t="str">
        <f t="shared" si="21"/>
        <v/>
      </c>
      <c r="AX87" s="11" t="str">
        <f t="shared" si="21"/>
        <v xml:space="preserve">     $10,000</v>
      </c>
      <c r="AY87" s="11" t="str">
        <f t="shared" si="21"/>
        <v/>
      </c>
      <c r="AZ87" s="11" t="str">
        <f t="shared" si="21"/>
        <v xml:space="preserve">     $10,000</v>
      </c>
      <c r="BA87" s="11" t="str">
        <f t="shared" si="21"/>
        <v/>
      </c>
      <c r="BB87" s="11" t="str">
        <f t="shared" si="21"/>
        <v/>
      </c>
      <c r="BC87" s="11" t="str">
        <f t="shared" si="21"/>
        <v/>
      </c>
      <c r="BD87" s="11" t="str">
        <f t="shared" si="21"/>
        <v/>
      </c>
      <c r="BE87" s="11" t="str">
        <f t="shared" si="21"/>
        <v/>
      </c>
      <c r="BF87" s="11" t="str">
        <f t="shared" si="22"/>
        <v xml:space="preserve">   </v>
      </c>
      <c r="BG87" s="11" t="str">
        <f t="shared" si="22"/>
        <v xml:space="preserve">   </v>
      </c>
      <c r="BH87" s="11" t="str">
        <f t="shared" si="22"/>
        <v>Assoc mgt system</v>
      </c>
      <c r="BI87" s="11" t="str">
        <f t="shared" si="22"/>
        <v xml:space="preserve">   </v>
      </c>
      <c r="BJ87" s="11" t="str">
        <f t="shared" si="22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25">
      <c r="A88" s="4"/>
      <c r="B88" s="5"/>
      <c r="C88" s="5" t="s">
        <v>173</v>
      </c>
      <c r="D88" s="5"/>
      <c r="E88" s="5"/>
      <c r="F88" s="67">
        <f>'[5]FY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7"/>
        <v>60000</v>
      </c>
      <c r="T88" s="68">
        <f t="shared" si="16"/>
        <v>50000</v>
      </c>
      <c r="U88" s="68"/>
      <c r="V88" s="68">
        <f t="shared" si="19"/>
        <v>55000</v>
      </c>
      <c r="W88" s="68">
        <f t="shared" si="20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1"/>
        <v xml:space="preserve">     $60,000</v>
      </c>
      <c r="AT88" s="11" t="str">
        <f t="shared" si="21"/>
        <v xml:space="preserve">      $5,000</v>
      </c>
      <c r="AU88" s="11" t="str">
        <f t="shared" si="21"/>
        <v xml:space="preserve">      $5,000</v>
      </c>
      <c r="AV88" s="11" t="str">
        <f t="shared" si="21"/>
        <v xml:space="preserve">      $5,000</v>
      </c>
      <c r="AW88" s="11" t="str">
        <f t="shared" si="21"/>
        <v xml:space="preserve">      $5,000</v>
      </c>
      <c r="AX88" s="11" t="str">
        <f t="shared" si="21"/>
        <v xml:space="preserve">      $5,000</v>
      </c>
      <c r="AY88" s="11" t="str">
        <f t="shared" si="21"/>
        <v xml:space="preserve">      $5,000</v>
      </c>
      <c r="AZ88" s="11" t="str">
        <f t="shared" si="21"/>
        <v xml:space="preserve">      $5,000</v>
      </c>
      <c r="BA88" s="11" t="str">
        <f t="shared" si="21"/>
        <v xml:space="preserve">      $5,000</v>
      </c>
      <c r="BB88" s="11" t="str">
        <f t="shared" si="21"/>
        <v xml:space="preserve">      $5,000</v>
      </c>
      <c r="BC88" s="11" t="str">
        <f t="shared" si="21"/>
        <v xml:space="preserve">      $5,000</v>
      </c>
      <c r="BD88" s="11" t="str">
        <f t="shared" si="21"/>
        <v xml:space="preserve">      $5,000</v>
      </c>
      <c r="BE88" s="11" t="str">
        <f t="shared" si="21"/>
        <v xml:space="preserve">      $5,000</v>
      </c>
      <c r="BF88" s="11" t="str">
        <f t="shared" si="22"/>
        <v xml:space="preserve">   </v>
      </c>
      <c r="BG88" s="11" t="str">
        <f t="shared" si="22"/>
        <v xml:space="preserve">   </v>
      </c>
      <c r="BH88" s="11" t="str">
        <f t="shared" si="22"/>
        <v>Chapter pool/seed funds</v>
      </c>
      <c r="BI88" s="11" t="str">
        <f t="shared" si="22"/>
        <v xml:space="preserve">   </v>
      </c>
      <c r="BJ88" s="11" t="str">
        <f t="shared" si="22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2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7"/>
        <v>0</v>
      </c>
      <c r="T89" s="68">
        <f t="shared" si="16"/>
        <v>0</v>
      </c>
      <c r="U89" s="68"/>
      <c r="V89" s="68">
        <f t="shared" si="19"/>
        <v>0</v>
      </c>
      <c r="W89" s="68">
        <f t="shared" si="20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1"/>
        <v/>
      </c>
      <c r="AT89" s="11" t="str">
        <f t="shared" si="21"/>
        <v/>
      </c>
      <c r="AU89" s="11" t="str">
        <f t="shared" si="21"/>
        <v/>
      </c>
      <c r="AV89" s="11" t="str">
        <f t="shared" si="21"/>
        <v/>
      </c>
      <c r="AW89" s="11" t="str">
        <f t="shared" si="21"/>
        <v/>
      </c>
      <c r="AX89" s="11" t="str">
        <f t="shared" si="21"/>
        <v/>
      </c>
      <c r="AY89" s="11" t="str">
        <f t="shared" si="21"/>
        <v/>
      </c>
      <c r="AZ89" s="11" t="str">
        <f t="shared" si="21"/>
        <v/>
      </c>
      <c r="BA89" s="11" t="str">
        <f t="shared" si="21"/>
        <v/>
      </c>
      <c r="BB89" s="11" t="str">
        <f t="shared" si="21"/>
        <v/>
      </c>
      <c r="BC89" s="11" t="str">
        <f t="shared" si="21"/>
        <v/>
      </c>
      <c r="BD89" s="11" t="str">
        <f t="shared" si="21"/>
        <v/>
      </c>
      <c r="BE89" s="11" t="str">
        <f t="shared" si="21"/>
        <v/>
      </c>
      <c r="BF89" s="11" t="str">
        <f t="shared" si="22"/>
        <v xml:space="preserve">   </v>
      </c>
      <c r="BG89" s="11" t="str">
        <f t="shared" si="22"/>
        <v xml:space="preserve">   </v>
      </c>
      <c r="BH89" s="11" t="str">
        <f t="shared" si="22"/>
        <v>Scholarships</v>
      </c>
      <c r="BI89" s="11" t="str">
        <f t="shared" si="22"/>
        <v xml:space="preserve">   </v>
      </c>
      <c r="BJ89" s="11" t="str">
        <f t="shared" si="22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2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7"/>
        <v>0</v>
      </c>
      <c r="T90" s="68">
        <f t="shared" si="16"/>
        <v>0</v>
      </c>
      <c r="U90" s="68"/>
      <c r="V90" s="68">
        <f t="shared" si="19"/>
        <v>0</v>
      </c>
      <c r="W90" s="68">
        <f t="shared" si="20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1"/>
        <v/>
      </c>
      <c r="AT90" s="11" t="str">
        <f t="shared" si="21"/>
        <v/>
      </c>
      <c r="AU90" s="11" t="str">
        <f t="shared" si="21"/>
        <v/>
      </c>
      <c r="AV90" s="11" t="str">
        <f t="shared" si="21"/>
        <v/>
      </c>
      <c r="AW90" s="11" t="str">
        <f t="shared" si="21"/>
        <v/>
      </c>
      <c r="AX90" s="11" t="str">
        <f t="shared" si="21"/>
        <v/>
      </c>
      <c r="AY90" s="11" t="str">
        <f t="shared" si="21"/>
        <v/>
      </c>
      <c r="AZ90" s="11" t="str">
        <f t="shared" si="21"/>
        <v/>
      </c>
      <c r="BA90" s="11" t="str">
        <f t="shared" si="21"/>
        <v/>
      </c>
      <c r="BB90" s="11" t="str">
        <f t="shared" si="21"/>
        <v/>
      </c>
      <c r="BC90" s="11" t="str">
        <f t="shared" si="21"/>
        <v/>
      </c>
      <c r="BD90" s="11" t="str">
        <f t="shared" si="21"/>
        <v/>
      </c>
      <c r="BE90" s="11" t="str">
        <f t="shared" si="21"/>
        <v/>
      </c>
      <c r="BF90" s="11" t="str">
        <f t="shared" si="22"/>
        <v xml:space="preserve">   </v>
      </c>
      <c r="BG90" s="11" t="str">
        <f t="shared" si="22"/>
        <v xml:space="preserve">   </v>
      </c>
      <c r="BH90" s="11" t="str">
        <f t="shared" si="22"/>
        <v>Membership rewards</v>
      </c>
      <c r="BI90" s="11" t="str">
        <f t="shared" si="22"/>
        <v xml:space="preserve">   </v>
      </c>
      <c r="BJ90" s="11" t="str">
        <f t="shared" si="22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25">
      <c r="A91" s="4"/>
      <c r="B91" s="5"/>
      <c r="C91" s="5" t="s">
        <v>144</v>
      </c>
      <c r="D91" s="5"/>
      <c r="E91" s="5"/>
      <c r="F91" s="67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7"/>
        <v>66671.591</v>
      </c>
      <c r="T91" s="68">
        <f t="shared" si="16"/>
        <v>55559.659166666665</v>
      </c>
      <c r="U91" s="68"/>
      <c r="V91" s="68">
        <f t="shared" si="19"/>
        <v>61115.625083333332</v>
      </c>
      <c r="W91" s="68">
        <f t="shared" si="20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1"/>
        <v xml:space="preserve">     $66,672</v>
      </c>
      <c r="AT91" s="11" t="str">
        <f t="shared" si="21"/>
        <v xml:space="preserve">      $5,556</v>
      </c>
      <c r="AU91" s="11" t="str">
        <f t="shared" si="21"/>
        <v xml:space="preserve">      $5,556</v>
      </c>
      <c r="AV91" s="11" t="str">
        <f t="shared" si="21"/>
        <v xml:space="preserve">      $5,556</v>
      </c>
      <c r="AW91" s="11" t="str">
        <f t="shared" si="21"/>
        <v xml:space="preserve">      $5,556</v>
      </c>
      <c r="AX91" s="11" t="str">
        <f t="shared" si="21"/>
        <v xml:space="preserve">      $5,556</v>
      </c>
      <c r="AY91" s="11" t="str">
        <f t="shared" si="21"/>
        <v xml:space="preserve">      $5,556</v>
      </c>
      <c r="AZ91" s="11" t="str">
        <f t="shared" si="21"/>
        <v xml:space="preserve">      $5,556</v>
      </c>
      <c r="BA91" s="11" t="str">
        <f t="shared" si="21"/>
        <v xml:space="preserve">      $5,556</v>
      </c>
      <c r="BB91" s="11" t="str">
        <f t="shared" si="21"/>
        <v xml:space="preserve">      $5,556</v>
      </c>
      <c r="BC91" s="11" t="str">
        <f t="shared" si="21"/>
        <v xml:space="preserve">      $5,556</v>
      </c>
      <c r="BD91" s="11" t="str">
        <f t="shared" si="21"/>
        <v xml:space="preserve">      $5,556</v>
      </c>
      <c r="BE91" s="11" t="str">
        <f t="shared" si="21"/>
        <v xml:space="preserve">      $5,556</v>
      </c>
      <c r="BF91" s="11" t="str">
        <f t="shared" si="22"/>
        <v xml:space="preserve">   </v>
      </c>
      <c r="BG91" s="11" t="str">
        <f t="shared" si="22"/>
        <v xml:space="preserve">   </v>
      </c>
      <c r="BH91" s="11" t="str">
        <f t="shared" si="22"/>
        <v>Staff salary</v>
      </c>
      <c r="BI91" s="11" t="str">
        <f t="shared" si="22"/>
        <v xml:space="preserve">   </v>
      </c>
      <c r="BJ91" s="11" t="str">
        <f t="shared" si="22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2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7"/>
        <v>0</v>
      </c>
      <c r="T92" s="68">
        <f t="shared" si="16"/>
        <v>0</v>
      </c>
      <c r="U92" s="68"/>
      <c r="V92" s="68">
        <f t="shared" si="19"/>
        <v>0</v>
      </c>
      <c r="W92" s="68">
        <f t="shared" si="20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1"/>
        <v/>
      </c>
      <c r="AT92" s="11" t="str">
        <f t="shared" si="21"/>
        <v/>
      </c>
      <c r="AU92" s="11" t="str">
        <f t="shared" si="21"/>
        <v/>
      </c>
      <c r="AV92" s="11" t="str">
        <f t="shared" si="21"/>
        <v/>
      </c>
      <c r="AW92" s="11" t="str">
        <f t="shared" si="21"/>
        <v/>
      </c>
      <c r="AX92" s="11" t="str">
        <f t="shared" si="21"/>
        <v/>
      </c>
      <c r="AY92" s="11" t="str">
        <f t="shared" si="21"/>
        <v/>
      </c>
      <c r="AZ92" s="11" t="str">
        <f t="shared" si="21"/>
        <v/>
      </c>
      <c r="BA92" s="11" t="str">
        <f t="shared" si="21"/>
        <v/>
      </c>
      <c r="BB92" s="11" t="str">
        <f t="shared" si="21"/>
        <v/>
      </c>
      <c r="BC92" s="11" t="str">
        <f t="shared" si="21"/>
        <v/>
      </c>
      <c r="BD92" s="11" t="str">
        <f t="shared" si="21"/>
        <v/>
      </c>
      <c r="BE92" s="11" t="str">
        <f t="shared" si="21"/>
        <v/>
      </c>
      <c r="BF92" s="11" t="str">
        <f t="shared" si="22"/>
        <v xml:space="preserve">   </v>
      </c>
      <c r="BG92" s="11" t="str">
        <f t="shared" si="22"/>
        <v xml:space="preserve">   </v>
      </c>
      <c r="BH92" s="11" t="str">
        <f t="shared" si="22"/>
        <v>Local Events</v>
      </c>
      <c r="BI92" s="11" t="str">
        <f t="shared" si="22"/>
        <v xml:space="preserve">   </v>
      </c>
      <c r="BJ92" s="11" t="str">
        <f t="shared" si="22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25">
      <c r="A93" s="4"/>
      <c r="B93" s="5"/>
      <c r="C93" s="5" t="s">
        <v>176</v>
      </c>
      <c r="D93" s="5"/>
      <c r="E93" s="5"/>
      <c r="F93" s="67">
        <f>'[5]FY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7"/>
        <v>40000</v>
      </c>
      <c r="T93" s="68">
        <f t="shared" si="16"/>
        <v>30000</v>
      </c>
      <c r="U93" s="68"/>
      <c r="V93" s="68">
        <f t="shared" si="19"/>
        <v>30000</v>
      </c>
      <c r="W93" s="68">
        <f t="shared" si="20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1"/>
        <v xml:space="preserve">     $40,000</v>
      </c>
      <c r="AT93" s="11" t="str">
        <f t="shared" ref="AT93:BE97" si="23">IF(ISBLANK(G93),"",RIGHT(REPT(" ",15)&amp;TEXT(G93,"$#,##0"),12))</f>
        <v/>
      </c>
      <c r="AU93" s="11" t="str">
        <f t="shared" si="23"/>
        <v/>
      </c>
      <c r="AV93" s="11" t="str">
        <f t="shared" si="23"/>
        <v xml:space="preserve">     $10,000</v>
      </c>
      <c r="AW93" s="11" t="str">
        <f t="shared" si="23"/>
        <v/>
      </c>
      <c r="AX93" s="11" t="str">
        <f t="shared" si="23"/>
        <v/>
      </c>
      <c r="AY93" s="11" t="str">
        <f t="shared" si="23"/>
        <v xml:space="preserve">     $10,000</v>
      </c>
      <c r="AZ93" s="11" t="str">
        <f t="shared" si="23"/>
        <v/>
      </c>
      <c r="BA93" s="11" t="str">
        <f t="shared" si="23"/>
        <v/>
      </c>
      <c r="BB93" s="11" t="str">
        <f t="shared" si="23"/>
        <v xml:space="preserve">     $10,000</v>
      </c>
      <c r="BC93" s="11" t="str">
        <f t="shared" si="23"/>
        <v/>
      </c>
      <c r="BD93" s="11" t="str">
        <f t="shared" si="23"/>
        <v/>
      </c>
      <c r="BE93" s="11" t="str">
        <f t="shared" si="23"/>
        <v xml:space="preserve">     $10,000</v>
      </c>
      <c r="BF93" s="11" t="str">
        <f t="shared" ref="BF93:BJ97" si="24">IF(ISBLANK(A93),"   ",A93)</f>
        <v xml:space="preserve">   </v>
      </c>
      <c r="BG93" s="11" t="str">
        <f t="shared" si="24"/>
        <v xml:space="preserve">   </v>
      </c>
      <c r="BH93" s="11" t="str">
        <f t="shared" si="24"/>
        <v>Chapter Platform Fees</v>
      </c>
      <c r="BI93" s="11" t="str">
        <f t="shared" si="24"/>
        <v xml:space="preserve">   </v>
      </c>
      <c r="BJ93" s="11" t="str">
        <f t="shared" si="24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7"/>
        <v>0</v>
      </c>
      <c r="T94" s="68">
        <f t="shared" si="16"/>
        <v>0</v>
      </c>
      <c r="U94" s="68"/>
      <c r="V94" s="68">
        <f t="shared" si="19"/>
        <v>0</v>
      </c>
      <c r="W94" s="68">
        <f t="shared" si="20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1"/>
        <v/>
      </c>
      <c r="AT94" s="11" t="str">
        <f t="shared" si="23"/>
        <v/>
      </c>
      <c r="AU94" s="11" t="str">
        <f t="shared" si="23"/>
        <v/>
      </c>
      <c r="AV94" s="11" t="str">
        <f t="shared" si="23"/>
        <v/>
      </c>
      <c r="AW94" s="11" t="str">
        <f t="shared" si="23"/>
        <v/>
      </c>
      <c r="AX94" s="11" t="str">
        <f t="shared" si="23"/>
        <v/>
      </c>
      <c r="AY94" s="11" t="str">
        <f t="shared" si="23"/>
        <v/>
      </c>
      <c r="AZ94" s="11" t="str">
        <f t="shared" si="23"/>
        <v/>
      </c>
      <c r="BA94" s="11" t="str">
        <f t="shared" si="23"/>
        <v/>
      </c>
      <c r="BB94" s="11" t="str">
        <f t="shared" si="23"/>
        <v/>
      </c>
      <c r="BC94" s="11" t="str">
        <f t="shared" si="23"/>
        <v/>
      </c>
      <c r="BD94" s="11" t="str">
        <f t="shared" si="23"/>
        <v/>
      </c>
      <c r="BE94" s="11" t="str">
        <f t="shared" si="23"/>
        <v/>
      </c>
      <c r="BF94" s="11" t="str">
        <f t="shared" si="24"/>
        <v xml:space="preserve">   </v>
      </c>
      <c r="BG94" s="11" t="str">
        <f t="shared" si="24"/>
        <v xml:space="preserve">   </v>
      </c>
      <c r="BH94" s="11" t="str">
        <f t="shared" si="24"/>
        <v xml:space="preserve">   </v>
      </c>
      <c r="BI94" s="11" t="str">
        <f t="shared" si="24"/>
        <v xml:space="preserve">   </v>
      </c>
      <c r="BJ94" s="11" t="str">
        <f t="shared" si="24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2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7"/>
        <v>0</v>
      </c>
      <c r="T95" s="68">
        <f t="shared" si="16"/>
        <v>0</v>
      </c>
      <c r="U95" s="68"/>
      <c r="V95" s="68">
        <f t="shared" si="19"/>
        <v>0</v>
      </c>
      <c r="W95" s="68">
        <f t="shared" si="20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1"/>
        <v/>
      </c>
      <c r="AT95" s="11" t="str">
        <f t="shared" si="23"/>
        <v/>
      </c>
      <c r="AU95" s="11" t="str">
        <f t="shared" si="23"/>
        <v/>
      </c>
      <c r="AV95" s="11" t="str">
        <f t="shared" si="23"/>
        <v/>
      </c>
      <c r="AW95" s="11" t="str">
        <f t="shared" si="23"/>
        <v/>
      </c>
      <c r="AX95" s="11" t="str">
        <f t="shared" si="23"/>
        <v/>
      </c>
      <c r="AY95" s="11" t="str">
        <f t="shared" si="23"/>
        <v/>
      </c>
      <c r="AZ95" s="11" t="str">
        <f t="shared" si="23"/>
        <v/>
      </c>
      <c r="BA95" s="11" t="str">
        <f t="shared" si="23"/>
        <v/>
      </c>
      <c r="BB95" s="11" t="str">
        <f t="shared" si="23"/>
        <v/>
      </c>
      <c r="BC95" s="11" t="str">
        <f t="shared" si="23"/>
        <v/>
      </c>
      <c r="BD95" s="11" t="str">
        <f t="shared" si="23"/>
        <v/>
      </c>
      <c r="BE95" s="11" t="str">
        <f t="shared" si="23"/>
        <v/>
      </c>
      <c r="BF95" s="11" t="str">
        <f t="shared" si="24"/>
        <v xml:space="preserve">   </v>
      </c>
      <c r="BG95" s="11" t="str">
        <f t="shared" si="24"/>
        <v>WIA, Diversity and Inclusion</v>
      </c>
      <c r="BH95" s="11" t="str">
        <f t="shared" si="24"/>
        <v xml:space="preserve">   </v>
      </c>
      <c r="BI95" s="11" t="str">
        <f t="shared" si="24"/>
        <v xml:space="preserve">   </v>
      </c>
      <c r="BJ95" s="11" t="str">
        <f t="shared" si="24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2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7"/>
        <v>0</v>
      </c>
      <c r="T96" s="68">
        <f t="shared" si="16"/>
        <v>0</v>
      </c>
      <c r="U96" s="68"/>
      <c r="V96" s="68">
        <f t="shared" si="19"/>
        <v>0</v>
      </c>
      <c r="W96" s="68">
        <f t="shared" si="20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1"/>
        <v/>
      </c>
      <c r="AT96" s="11" t="str">
        <f t="shared" si="23"/>
        <v/>
      </c>
      <c r="AU96" s="11" t="str">
        <f t="shared" si="23"/>
        <v/>
      </c>
      <c r="AV96" s="11" t="str">
        <f t="shared" si="23"/>
        <v/>
      </c>
      <c r="AW96" s="11" t="str">
        <f t="shared" si="23"/>
        <v/>
      </c>
      <c r="AX96" s="11" t="str">
        <f t="shared" si="23"/>
        <v/>
      </c>
      <c r="AY96" s="11" t="str">
        <f t="shared" si="23"/>
        <v/>
      </c>
      <c r="AZ96" s="11" t="str">
        <f t="shared" si="23"/>
        <v/>
      </c>
      <c r="BA96" s="11" t="str">
        <f t="shared" si="23"/>
        <v/>
      </c>
      <c r="BB96" s="11" t="str">
        <f t="shared" si="23"/>
        <v/>
      </c>
      <c r="BC96" s="11" t="str">
        <f t="shared" si="23"/>
        <v/>
      </c>
      <c r="BD96" s="11" t="str">
        <f t="shared" si="23"/>
        <v/>
      </c>
      <c r="BE96" s="11" t="str">
        <f t="shared" si="23"/>
        <v/>
      </c>
      <c r="BF96" s="11" t="str">
        <f t="shared" si="24"/>
        <v xml:space="preserve">   </v>
      </c>
      <c r="BG96" s="11" t="str">
        <f t="shared" si="24"/>
        <v xml:space="preserve">   </v>
      </c>
      <c r="BH96" s="11" t="str">
        <f t="shared" si="24"/>
        <v>Grants</v>
      </c>
      <c r="BI96" s="11" t="str">
        <f t="shared" si="24"/>
        <v xml:space="preserve">   </v>
      </c>
      <c r="BJ96" s="11" t="str">
        <f t="shared" si="24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2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7"/>
        <v>0</v>
      </c>
      <c r="T97" s="68">
        <f t="shared" si="16"/>
        <v>0</v>
      </c>
      <c r="U97" s="68"/>
      <c r="V97" s="68">
        <f t="shared" si="19"/>
        <v>0</v>
      </c>
      <c r="W97" s="68">
        <f t="shared" si="20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1"/>
        <v/>
      </c>
      <c r="AT97" s="11" t="str">
        <f t="shared" si="23"/>
        <v/>
      </c>
      <c r="AU97" s="11" t="str">
        <f t="shared" si="23"/>
        <v/>
      </c>
      <c r="AV97" s="11" t="str">
        <f t="shared" si="23"/>
        <v/>
      </c>
      <c r="AW97" s="11" t="str">
        <f t="shared" si="23"/>
        <v/>
      </c>
      <c r="AX97" s="11" t="str">
        <f t="shared" si="23"/>
        <v/>
      </c>
      <c r="AY97" s="11" t="str">
        <f t="shared" si="23"/>
        <v/>
      </c>
      <c r="AZ97" s="11" t="str">
        <f t="shared" si="23"/>
        <v/>
      </c>
      <c r="BA97" s="11" t="str">
        <f t="shared" si="23"/>
        <v/>
      </c>
      <c r="BB97" s="11" t="str">
        <f t="shared" si="23"/>
        <v/>
      </c>
      <c r="BC97" s="11" t="str">
        <f t="shared" si="23"/>
        <v/>
      </c>
      <c r="BD97" s="11" t="str">
        <f t="shared" si="23"/>
        <v/>
      </c>
      <c r="BE97" s="11" t="str">
        <f t="shared" si="23"/>
        <v/>
      </c>
      <c r="BF97" s="11" t="str">
        <f t="shared" si="24"/>
        <v xml:space="preserve">   </v>
      </c>
      <c r="BG97" s="11" t="str">
        <f t="shared" si="24"/>
        <v xml:space="preserve">   </v>
      </c>
      <c r="BH97" s="11" t="str">
        <f t="shared" si="24"/>
        <v>Expenses</v>
      </c>
      <c r="BI97" s="11" t="str">
        <f t="shared" si="24"/>
        <v xml:space="preserve">   </v>
      </c>
      <c r="BJ97" s="11" t="str">
        <f t="shared" si="24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2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7"/>
        <v>0</v>
      </c>
      <c r="T98" s="68">
        <f t="shared" si="16"/>
        <v>0</v>
      </c>
      <c r="U98" s="68"/>
      <c r="V98" s="68">
        <f t="shared" si="19"/>
        <v>0</v>
      </c>
      <c r="W98" s="68">
        <f t="shared" si="20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7"/>
        <v>0</v>
      </c>
      <c r="T99" s="68">
        <f t="shared" si="16"/>
        <v>0</v>
      </c>
      <c r="U99" s="68"/>
      <c r="V99" s="68">
        <f t="shared" si="19"/>
        <v>0</v>
      </c>
      <c r="W99" s="68">
        <f t="shared" si="20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7"/>
        <v>0</v>
      </c>
      <c r="T100" s="68">
        <f t="shared" si="16"/>
        <v>0</v>
      </c>
      <c r="U100" s="68"/>
      <c r="V100" s="68">
        <f t="shared" si="19"/>
        <v>0</v>
      </c>
      <c r="W100" s="68">
        <f t="shared" si="20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144</v>
      </c>
      <c r="D101" s="5"/>
      <c r="E101" s="5"/>
      <c r="F101" s="67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7"/>
        <v>45663.237199999981</v>
      </c>
      <c r="T101" s="68">
        <f t="shared" si="16"/>
        <v>38052.697666666652</v>
      </c>
      <c r="U101" s="68"/>
      <c r="V101" s="68">
        <f t="shared" si="19"/>
        <v>41857.967433333317</v>
      </c>
      <c r="W101" s="68">
        <f t="shared" si="20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5">SUM(G102:R102)</f>
        <v>0</v>
      </c>
      <c r="T102" s="68">
        <f t="shared" ref="T102:T133" si="26">SUM(G102:P102)</f>
        <v>0</v>
      </c>
      <c r="U102" s="68"/>
      <c r="V102" s="68">
        <f t="shared" si="19"/>
        <v>0</v>
      </c>
      <c r="W102" s="68">
        <f t="shared" si="20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5"/>
        <v>0</v>
      </c>
      <c r="T103" s="68">
        <f t="shared" si="26"/>
        <v>0</v>
      </c>
      <c r="U103" s="68"/>
      <c r="V103" s="68">
        <f t="shared" si="19"/>
        <v>0</v>
      </c>
      <c r="W103" s="68">
        <f t="shared" si="20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5"/>
        <v>0</v>
      </c>
      <c r="T104" s="68">
        <f t="shared" si="26"/>
        <v>0</v>
      </c>
      <c r="U104" s="68"/>
      <c r="V104" s="68">
        <f t="shared" si="19"/>
        <v>0</v>
      </c>
      <c r="W104" s="68">
        <f t="shared" si="20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5"/>
        <v>0</v>
      </c>
      <c r="T105" s="68">
        <f t="shared" si="26"/>
        <v>0</v>
      </c>
      <c r="U105" s="68"/>
      <c r="V105" s="68">
        <f t="shared" si="19"/>
        <v>0</v>
      </c>
      <c r="W105" s="68">
        <f t="shared" si="20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5"/>
        <v>0</v>
      </c>
      <c r="T106" s="68">
        <f t="shared" si="26"/>
        <v>0</v>
      </c>
      <c r="U106" s="68"/>
      <c r="V106" s="68">
        <f t="shared" si="19"/>
        <v>0</v>
      </c>
      <c r="W106" s="68">
        <f t="shared" si="20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5"/>
        <v>0</v>
      </c>
      <c r="T107" s="68">
        <f t="shared" si="26"/>
        <v>0</v>
      </c>
      <c r="U107" s="68"/>
      <c r="V107" s="68">
        <f t="shared" si="19"/>
        <v>0</v>
      </c>
      <c r="W107" s="68">
        <f t="shared" si="20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5"/>
        <v>0</v>
      </c>
      <c r="T108" s="68">
        <f t="shared" si="26"/>
        <v>0</v>
      </c>
      <c r="U108" s="68"/>
      <c r="V108" s="68">
        <f t="shared" si="19"/>
        <v>0</v>
      </c>
      <c r="W108" s="68">
        <f t="shared" si="20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5"/>
        <v>0</v>
      </c>
      <c r="T109" s="68">
        <f t="shared" si="26"/>
        <v>0</v>
      </c>
      <c r="U109" s="68"/>
      <c r="V109" s="68">
        <f t="shared" si="19"/>
        <v>0</v>
      </c>
      <c r="W109" s="68">
        <f t="shared" si="20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5"/>
        <v>0</v>
      </c>
      <c r="T110" s="68">
        <f t="shared" si="26"/>
        <v>0</v>
      </c>
      <c r="U110" s="68"/>
      <c r="V110" s="68">
        <f t="shared" si="19"/>
        <v>0</v>
      </c>
      <c r="W110" s="68">
        <f t="shared" si="20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144</v>
      </c>
      <c r="D111" s="5"/>
      <c r="E111" s="5"/>
      <c r="F111" s="67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5"/>
        <v>55503.445200000009</v>
      </c>
      <c r="T111" s="68">
        <f t="shared" si="26"/>
        <v>46252.871000000006</v>
      </c>
      <c r="U111" s="68"/>
      <c r="V111" s="68">
        <f t="shared" si="19"/>
        <v>50878.158100000008</v>
      </c>
      <c r="W111" s="68">
        <f t="shared" si="20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5"/>
        <v>0</v>
      </c>
      <c r="T112" s="68">
        <f t="shared" si="26"/>
        <v>0</v>
      </c>
      <c r="U112" s="68"/>
      <c r="V112" s="68">
        <f t="shared" si="19"/>
        <v>0</v>
      </c>
      <c r="W112" s="68">
        <f t="shared" si="20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5"/>
        <v>0</v>
      </c>
      <c r="T113" s="68">
        <f t="shared" si="26"/>
        <v>0</v>
      </c>
      <c r="U113" s="68"/>
      <c r="V113" s="68">
        <f t="shared" si="19"/>
        <v>0</v>
      </c>
      <c r="W113" s="68">
        <f t="shared" si="20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5"/>
        <v>0</v>
      </c>
      <c r="T114" s="68">
        <f t="shared" si="26"/>
        <v>0</v>
      </c>
      <c r="U114" s="68"/>
      <c r="V114" s="68">
        <f t="shared" si="19"/>
        <v>0</v>
      </c>
      <c r="W114" s="68">
        <f t="shared" si="20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5"/>
        <v>0</v>
      </c>
      <c r="T115" s="68">
        <f t="shared" si="26"/>
        <v>0</v>
      </c>
      <c r="U115" s="68"/>
      <c r="V115" s="68">
        <f t="shared" si="19"/>
        <v>0</v>
      </c>
      <c r="W115" s="68">
        <f t="shared" si="20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183</v>
      </c>
      <c r="E116" s="5"/>
      <c r="F116" s="67">
        <f>'[5]FY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5"/>
        <v>25000</v>
      </c>
      <c r="T116" s="68">
        <f t="shared" si="26"/>
        <v>25000</v>
      </c>
      <c r="U116" s="68"/>
      <c r="V116" s="68">
        <f t="shared" si="19"/>
        <v>25000</v>
      </c>
      <c r="W116" s="68">
        <f t="shared" si="20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1"/>
        <v xml:space="preserve">     $25,000</v>
      </c>
      <c r="AT116" s="11" t="str">
        <f t="shared" ref="AT116:BE133" si="27">IF(ISBLANK(G116),"",RIGHT(REPT(" ",15)&amp;TEXT(G116,"$#,##0"),12))</f>
        <v/>
      </c>
      <c r="AU116" s="11" t="str">
        <f t="shared" si="27"/>
        <v/>
      </c>
      <c r="AV116" s="11" t="str">
        <f t="shared" si="27"/>
        <v/>
      </c>
      <c r="AW116" s="11" t="str">
        <f t="shared" si="27"/>
        <v/>
      </c>
      <c r="AX116" s="11" t="str">
        <f t="shared" si="27"/>
        <v/>
      </c>
      <c r="AY116" s="11" t="str">
        <f t="shared" si="27"/>
        <v xml:space="preserve">     $12,500</v>
      </c>
      <c r="AZ116" s="11" t="str">
        <f t="shared" si="27"/>
        <v/>
      </c>
      <c r="BA116" s="11" t="str">
        <f t="shared" si="27"/>
        <v/>
      </c>
      <c r="BB116" s="11" t="str">
        <f t="shared" si="27"/>
        <v/>
      </c>
      <c r="BC116" s="11" t="str">
        <f t="shared" si="27"/>
        <v xml:space="preserve">     $12,500</v>
      </c>
      <c r="BD116" s="11" t="str">
        <f t="shared" si="27"/>
        <v/>
      </c>
      <c r="BE116" s="11" t="str">
        <f t="shared" si="27"/>
        <v/>
      </c>
      <c r="BF116" s="11" t="str">
        <f t="shared" ref="BF116:BJ133" si="28">IF(ISBLANK(A116),"   ",A116)</f>
        <v xml:space="preserve">   </v>
      </c>
      <c r="BG116" s="11" t="str">
        <f t="shared" si="28"/>
        <v xml:space="preserve">   </v>
      </c>
      <c r="BH116" s="11" t="str">
        <f t="shared" si="28"/>
        <v xml:space="preserve">   </v>
      </c>
      <c r="BI116" s="11" t="str">
        <f t="shared" si="28"/>
        <v>Board F2F Meetings (2x/yr)</v>
      </c>
      <c r="BJ116" s="11" t="str">
        <f t="shared" si="28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2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5"/>
        <v>0</v>
      </c>
      <c r="T117" s="68">
        <f t="shared" si="26"/>
        <v>0</v>
      </c>
      <c r="U117" s="68"/>
      <c r="V117" s="68">
        <f t="shared" si="19"/>
        <v>0</v>
      </c>
      <c r="W117" s="68">
        <f t="shared" si="20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1"/>
        <v/>
      </c>
      <c r="AT117" s="11" t="str">
        <f t="shared" si="27"/>
        <v/>
      </c>
      <c r="AU117" s="11" t="str">
        <f t="shared" si="27"/>
        <v/>
      </c>
      <c r="AV117" s="11" t="str">
        <f t="shared" si="27"/>
        <v/>
      </c>
      <c r="AW117" s="11" t="str">
        <f t="shared" si="27"/>
        <v/>
      </c>
      <c r="AX117" s="11" t="str">
        <f t="shared" si="27"/>
        <v/>
      </c>
      <c r="AY117" s="11" t="str">
        <f t="shared" si="27"/>
        <v/>
      </c>
      <c r="AZ117" s="11" t="str">
        <f t="shared" si="27"/>
        <v/>
      </c>
      <c r="BA117" s="11" t="str">
        <f t="shared" si="27"/>
        <v/>
      </c>
      <c r="BB117" s="11" t="str">
        <f t="shared" si="27"/>
        <v/>
      </c>
      <c r="BC117" s="11" t="str">
        <f t="shared" si="27"/>
        <v/>
      </c>
      <c r="BD117" s="11" t="str">
        <f t="shared" si="27"/>
        <v/>
      </c>
      <c r="BE117" s="11" t="str">
        <f t="shared" si="27"/>
        <v/>
      </c>
      <c r="BF117" s="11" t="str">
        <f t="shared" si="28"/>
        <v xml:space="preserve">   </v>
      </c>
      <c r="BG117" s="11" t="str">
        <f t="shared" si="28"/>
        <v xml:space="preserve">   </v>
      </c>
      <c r="BH117" s="11" t="str">
        <f t="shared" si="28"/>
        <v xml:space="preserve">   </v>
      </c>
      <c r="BI117" s="11" t="str">
        <f t="shared" si="28"/>
        <v>Projects Summit Travel Assistance</v>
      </c>
      <c r="BJ117" s="11" t="str">
        <f t="shared" si="28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2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5"/>
        <v>0</v>
      </c>
      <c r="T118" s="68">
        <f t="shared" si="26"/>
        <v>0</v>
      </c>
      <c r="U118" s="68"/>
      <c r="V118" s="68">
        <f t="shared" si="19"/>
        <v>0</v>
      </c>
      <c r="W118" s="68">
        <f t="shared" si="20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1"/>
        <v/>
      </c>
      <c r="AT118" s="11" t="str">
        <f t="shared" si="27"/>
        <v/>
      </c>
      <c r="AU118" s="11" t="str">
        <f t="shared" si="27"/>
        <v/>
      </c>
      <c r="AV118" s="11" t="str">
        <f t="shared" si="27"/>
        <v/>
      </c>
      <c r="AW118" s="11" t="str">
        <f t="shared" si="27"/>
        <v/>
      </c>
      <c r="AX118" s="11" t="str">
        <f t="shared" si="27"/>
        <v/>
      </c>
      <c r="AY118" s="11" t="str">
        <f t="shared" si="27"/>
        <v/>
      </c>
      <c r="AZ118" s="11" t="str">
        <f t="shared" si="27"/>
        <v/>
      </c>
      <c r="BA118" s="11" t="str">
        <f t="shared" si="27"/>
        <v/>
      </c>
      <c r="BB118" s="11" t="str">
        <f t="shared" si="27"/>
        <v/>
      </c>
      <c r="BC118" s="11" t="str">
        <f t="shared" si="27"/>
        <v/>
      </c>
      <c r="BD118" s="11" t="str">
        <f t="shared" si="27"/>
        <v/>
      </c>
      <c r="BE118" s="11" t="str">
        <f t="shared" si="27"/>
        <v/>
      </c>
      <c r="BF118" s="11" t="str">
        <f t="shared" si="28"/>
        <v xml:space="preserve">   </v>
      </c>
      <c r="BG118" s="11" t="str">
        <f t="shared" si="28"/>
        <v xml:space="preserve">   </v>
      </c>
      <c r="BH118" s="11" t="str">
        <f t="shared" si="28"/>
        <v xml:space="preserve">   </v>
      </c>
      <c r="BI118" s="11" t="str">
        <f t="shared" si="28"/>
        <v>General Travel Assistance</v>
      </c>
      <c r="BJ118" s="11" t="str">
        <f t="shared" si="28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25">
      <c r="A119" s="4"/>
      <c r="B119" s="5"/>
      <c r="C119" s="5"/>
      <c r="D119" s="5" t="s">
        <v>186</v>
      </c>
      <c r="E119" s="5"/>
      <c r="F119" s="67">
        <f>'[5]FY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5"/>
        <v>10000</v>
      </c>
      <c r="T119" s="68">
        <f t="shared" si="26"/>
        <v>10000</v>
      </c>
      <c r="U119" s="68"/>
      <c r="V119" s="68">
        <f t="shared" si="19"/>
        <v>10000</v>
      </c>
      <c r="W119" s="68">
        <f t="shared" si="20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1"/>
        <v xml:space="preserve">     $10,000</v>
      </c>
      <c r="AT119" s="11" t="str">
        <f t="shared" si="27"/>
        <v/>
      </c>
      <c r="AU119" s="11" t="str">
        <f t="shared" si="27"/>
        <v/>
      </c>
      <c r="AV119" s="11" t="str">
        <f t="shared" si="27"/>
        <v/>
      </c>
      <c r="AW119" s="11" t="str">
        <f t="shared" si="27"/>
        <v/>
      </c>
      <c r="AX119" s="11" t="str">
        <f t="shared" si="27"/>
        <v/>
      </c>
      <c r="AY119" s="11" t="str">
        <f t="shared" si="27"/>
        <v xml:space="preserve">      $5,000</v>
      </c>
      <c r="AZ119" s="11" t="str">
        <f t="shared" si="27"/>
        <v/>
      </c>
      <c r="BA119" s="11" t="str">
        <f t="shared" si="27"/>
        <v/>
      </c>
      <c r="BB119" s="11" t="str">
        <f t="shared" si="27"/>
        <v/>
      </c>
      <c r="BC119" s="11" t="str">
        <f t="shared" si="27"/>
        <v xml:space="preserve">      $5,000</v>
      </c>
      <c r="BD119" s="11" t="str">
        <f t="shared" si="27"/>
        <v/>
      </c>
      <c r="BE119" s="11" t="str">
        <f t="shared" si="27"/>
        <v/>
      </c>
      <c r="BF119" s="11" t="str">
        <f t="shared" si="28"/>
        <v xml:space="preserve">   </v>
      </c>
      <c r="BG119" s="11" t="str">
        <f t="shared" si="28"/>
        <v xml:space="preserve">   </v>
      </c>
      <c r="BH119" s="11" t="str">
        <f t="shared" si="28"/>
        <v xml:space="preserve">   </v>
      </c>
      <c r="BI119" s="11" t="str">
        <f t="shared" si="28"/>
        <v>Staff</v>
      </c>
      <c r="BJ119" s="11" t="str">
        <f t="shared" si="28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25">
      <c r="A120" s="4"/>
      <c r="B120" s="5" t="s">
        <v>187</v>
      </c>
      <c r="C120" s="5"/>
      <c r="D120" s="5"/>
      <c r="E120" s="5"/>
      <c r="F120" s="67">
        <f>'[5]FY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5"/>
        <v>20000</v>
      </c>
      <c r="T120" s="68">
        <f t="shared" si="26"/>
        <v>18000</v>
      </c>
      <c r="U120" s="68"/>
      <c r="V120" s="68">
        <f t="shared" si="19"/>
        <v>19000</v>
      </c>
      <c r="W120" s="68">
        <f t="shared" si="20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1"/>
        <v xml:space="preserve">     $20,000</v>
      </c>
      <c r="AT120" s="11" t="str">
        <f t="shared" si="27"/>
        <v xml:space="preserve">      $1,000</v>
      </c>
      <c r="AU120" s="11" t="str">
        <f t="shared" si="27"/>
        <v xml:space="preserve">      $1,000</v>
      </c>
      <c r="AV120" s="11" t="str">
        <f t="shared" si="27"/>
        <v xml:space="preserve">      $1,000</v>
      </c>
      <c r="AW120" s="11" t="str">
        <f t="shared" si="27"/>
        <v xml:space="preserve">      $9,000</v>
      </c>
      <c r="AX120" s="11" t="str">
        <f t="shared" si="27"/>
        <v xml:space="preserve">      $1,000</v>
      </c>
      <c r="AY120" s="11" t="str">
        <f t="shared" si="27"/>
        <v xml:space="preserve">      $1,000</v>
      </c>
      <c r="AZ120" s="11" t="str">
        <f t="shared" si="27"/>
        <v xml:space="preserve">      $1,000</v>
      </c>
      <c r="BA120" s="11" t="str">
        <f t="shared" si="27"/>
        <v xml:space="preserve">      $1,000</v>
      </c>
      <c r="BB120" s="11" t="str">
        <f t="shared" si="27"/>
        <v xml:space="preserve">      $1,000</v>
      </c>
      <c r="BC120" s="11" t="str">
        <f t="shared" si="27"/>
        <v xml:space="preserve">      $1,000</v>
      </c>
      <c r="BD120" s="11" t="str">
        <f t="shared" si="27"/>
        <v xml:space="preserve">      $1,000</v>
      </c>
      <c r="BE120" s="11" t="str">
        <f t="shared" si="27"/>
        <v xml:space="preserve">      $1,000</v>
      </c>
      <c r="BF120" s="11" t="str">
        <f t="shared" si="28"/>
        <v xml:space="preserve">   </v>
      </c>
      <c r="BG120" s="11" t="str">
        <f t="shared" si="28"/>
        <v>Legal &amp; Insurance</v>
      </c>
      <c r="BH120" s="11" t="str">
        <f t="shared" si="28"/>
        <v xml:space="preserve">   </v>
      </c>
      <c r="BI120" s="11" t="str">
        <f t="shared" si="28"/>
        <v xml:space="preserve">   </v>
      </c>
      <c r="BJ120" s="11" t="str">
        <f t="shared" si="28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2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5"/>
        <v>0</v>
      </c>
      <c r="T121" s="68">
        <f t="shared" si="26"/>
        <v>0</v>
      </c>
      <c r="U121" s="68"/>
      <c r="V121" s="68">
        <f t="shared" si="19"/>
        <v>0</v>
      </c>
      <c r="W121" s="68">
        <f t="shared" si="20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1"/>
        <v/>
      </c>
      <c r="AT121" s="11" t="str">
        <f t="shared" si="27"/>
        <v/>
      </c>
      <c r="AU121" s="11" t="str">
        <f t="shared" si="27"/>
        <v/>
      </c>
      <c r="AV121" s="11" t="str">
        <f t="shared" si="27"/>
        <v/>
      </c>
      <c r="AW121" s="11" t="str">
        <f t="shared" si="27"/>
        <v/>
      </c>
      <c r="AX121" s="11" t="str">
        <f t="shared" si="27"/>
        <v/>
      </c>
      <c r="AY121" s="11" t="str">
        <f t="shared" si="27"/>
        <v/>
      </c>
      <c r="AZ121" s="11" t="str">
        <f t="shared" si="27"/>
        <v/>
      </c>
      <c r="BA121" s="11" t="str">
        <f t="shared" si="27"/>
        <v/>
      </c>
      <c r="BB121" s="11" t="str">
        <f t="shared" si="27"/>
        <v/>
      </c>
      <c r="BC121" s="11" t="str">
        <f t="shared" si="27"/>
        <v/>
      </c>
      <c r="BD121" s="11" t="str">
        <f t="shared" si="27"/>
        <v/>
      </c>
      <c r="BE121" s="11" t="str">
        <f t="shared" si="27"/>
        <v/>
      </c>
      <c r="BF121" s="11" t="str">
        <f t="shared" si="28"/>
        <v xml:space="preserve">   </v>
      </c>
      <c r="BG121" s="11" t="str">
        <f t="shared" si="28"/>
        <v xml:space="preserve">   </v>
      </c>
      <c r="BH121" s="11" t="str">
        <f t="shared" si="28"/>
        <v>Trade Mark fees</v>
      </c>
      <c r="BI121" s="11" t="str">
        <f t="shared" si="28"/>
        <v xml:space="preserve">   </v>
      </c>
      <c r="BJ121" s="11" t="str">
        <f t="shared" si="28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2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5"/>
        <v>0</v>
      </c>
      <c r="T122" s="68">
        <f t="shared" si="26"/>
        <v>0</v>
      </c>
      <c r="U122" s="68"/>
      <c r="V122" s="68">
        <f t="shared" si="19"/>
        <v>0</v>
      </c>
      <c r="W122" s="68">
        <f t="shared" si="20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1"/>
        <v/>
      </c>
      <c r="AT122" s="11" t="str">
        <f t="shared" si="27"/>
        <v/>
      </c>
      <c r="AU122" s="11" t="str">
        <f t="shared" si="27"/>
        <v/>
      </c>
      <c r="AV122" s="11" t="str">
        <f t="shared" si="27"/>
        <v/>
      </c>
      <c r="AW122" s="11" t="str">
        <f t="shared" si="27"/>
        <v/>
      </c>
      <c r="AX122" s="11" t="str">
        <f t="shared" si="27"/>
        <v/>
      </c>
      <c r="AY122" s="11" t="str">
        <f t="shared" si="27"/>
        <v/>
      </c>
      <c r="AZ122" s="11" t="str">
        <f t="shared" si="27"/>
        <v/>
      </c>
      <c r="BA122" s="11" t="str">
        <f t="shared" si="27"/>
        <v/>
      </c>
      <c r="BB122" s="11" t="str">
        <f t="shared" si="27"/>
        <v/>
      </c>
      <c r="BC122" s="11" t="str">
        <f t="shared" si="27"/>
        <v/>
      </c>
      <c r="BD122" s="11" t="str">
        <f t="shared" si="27"/>
        <v/>
      </c>
      <c r="BE122" s="11" t="str">
        <f t="shared" si="27"/>
        <v/>
      </c>
      <c r="BF122" s="11" t="str">
        <f t="shared" si="28"/>
        <v xml:space="preserve">   </v>
      </c>
      <c r="BG122" s="11" t="str">
        <f t="shared" si="28"/>
        <v>Staffing</v>
      </c>
      <c r="BH122" s="11" t="str">
        <f t="shared" si="28"/>
        <v xml:space="preserve">   </v>
      </c>
      <c r="BI122" s="11" t="str">
        <f t="shared" si="28"/>
        <v xml:space="preserve">   </v>
      </c>
      <c r="BJ122" s="11" t="str">
        <f t="shared" si="28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25">
      <c r="A123" s="4"/>
      <c r="B123" s="5"/>
      <c r="C123" s="5"/>
      <c r="D123" s="5" t="s">
        <v>190</v>
      </c>
      <c r="E123" s="5"/>
      <c r="F123" s="67">
        <f>'[5]FY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5"/>
        <v>136735.26019999999</v>
      </c>
      <c r="T123" s="68">
        <f t="shared" si="26"/>
        <v>113946.05016666667</v>
      </c>
      <c r="U123" s="68"/>
      <c r="V123" s="68">
        <f t="shared" si="19"/>
        <v>125340.65518333334</v>
      </c>
      <c r="W123" s="68">
        <f t="shared" si="20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1"/>
        <v xml:space="preserve">    $136,735</v>
      </c>
      <c r="AT123" s="11" t="str">
        <f t="shared" si="27"/>
        <v xml:space="preserve">     $11,395</v>
      </c>
      <c r="AU123" s="11" t="str">
        <f t="shared" si="27"/>
        <v xml:space="preserve">     $11,395</v>
      </c>
      <c r="AV123" s="11" t="str">
        <f t="shared" si="27"/>
        <v xml:space="preserve">     $11,395</v>
      </c>
      <c r="AW123" s="11" t="str">
        <f t="shared" si="27"/>
        <v xml:space="preserve">     $11,395</v>
      </c>
      <c r="AX123" s="11" t="str">
        <f t="shared" si="27"/>
        <v xml:space="preserve">     $11,395</v>
      </c>
      <c r="AY123" s="11" t="str">
        <f t="shared" si="27"/>
        <v xml:space="preserve">     $11,395</v>
      </c>
      <c r="AZ123" s="11" t="str">
        <f t="shared" si="27"/>
        <v xml:space="preserve">     $11,395</v>
      </c>
      <c r="BA123" s="11" t="str">
        <f t="shared" si="27"/>
        <v xml:space="preserve">     $11,395</v>
      </c>
      <c r="BB123" s="11" t="str">
        <f t="shared" si="27"/>
        <v xml:space="preserve">     $11,395</v>
      </c>
      <c r="BC123" s="11" t="str">
        <f t="shared" si="27"/>
        <v xml:space="preserve">     $11,395</v>
      </c>
      <c r="BD123" s="11" t="str">
        <f t="shared" si="27"/>
        <v xml:space="preserve">     $11,395</v>
      </c>
      <c r="BE123" s="11" t="str">
        <f t="shared" si="27"/>
        <v xml:space="preserve">     $11,395</v>
      </c>
      <c r="BF123" s="11" t="str">
        <f t="shared" si="28"/>
        <v xml:space="preserve">   </v>
      </c>
      <c r="BG123" s="11" t="str">
        <f t="shared" si="28"/>
        <v xml:space="preserve">   </v>
      </c>
      <c r="BH123" s="11" t="str">
        <f t="shared" si="28"/>
        <v xml:space="preserve">   </v>
      </c>
      <c r="BI123" s="11" t="str">
        <f t="shared" si="28"/>
        <v>General &amp; Administration</v>
      </c>
      <c r="BJ123" s="11" t="str">
        <f t="shared" si="28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25">
      <c r="A124" s="4"/>
      <c r="B124" s="5"/>
      <c r="C124" s="5"/>
      <c r="D124" s="5" t="s">
        <v>191</v>
      </c>
      <c r="E124" s="5"/>
      <c r="F124" s="67">
        <f>'[5]FY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5"/>
        <v>69214.269599999985</v>
      </c>
      <c r="T124" s="68">
        <f t="shared" si="26"/>
        <v>57678.55799999999</v>
      </c>
      <c r="U124" s="68"/>
      <c r="V124" s="68">
        <f t="shared" si="19"/>
        <v>63446.413799999988</v>
      </c>
      <c r="W124" s="68">
        <f t="shared" si="20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1"/>
        <v xml:space="preserve">     $69,214</v>
      </c>
      <c r="AT124" s="11" t="str">
        <f t="shared" si="27"/>
        <v xml:space="preserve">      $5,768</v>
      </c>
      <c r="AU124" s="11" t="str">
        <f t="shared" si="27"/>
        <v xml:space="preserve">      $5,768</v>
      </c>
      <c r="AV124" s="11" t="str">
        <f t="shared" si="27"/>
        <v xml:space="preserve">      $5,768</v>
      </c>
      <c r="AW124" s="11" t="str">
        <f t="shared" si="27"/>
        <v xml:space="preserve">      $5,768</v>
      </c>
      <c r="AX124" s="11" t="str">
        <f t="shared" si="27"/>
        <v xml:space="preserve">      $5,768</v>
      </c>
      <c r="AY124" s="11" t="str">
        <f t="shared" si="27"/>
        <v xml:space="preserve">      $5,768</v>
      </c>
      <c r="AZ124" s="11" t="str">
        <f t="shared" si="27"/>
        <v xml:space="preserve">      $5,768</v>
      </c>
      <c r="BA124" s="11" t="str">
        <f t="shared" si="27"/>
        <v xml:space="preserve">      $5,768</v>
      </c>
      <c r="BB124" s="11" t="str">
        <f t="shared" si="27"/>
        <v xml:space="preserve">      $5,768</v>
      </c>
      <c r="BC124" s="11" t="str">
        <f t="shared" si="27"/>
        <v xml:space="preserve">      $5,768</v>
      </c>
      <c r="BD124" s="11" t="str">
        <f t="shared" si="27"/>
        <v xml:space="preserve">      $5,768</v>
      </c>
      <c r="BE124" s="11" t="str">
        <f t="shared" si="27"/>
        <v xml:space="preserve">      $5,768</v>
      </c>
      <c r="BF124" s="11" t="str">
        <f t="shared" si="28"/>
        <v xml:space="preserve">   </v>
      </c>
      <c r="BG124" s="11" t="str">
        <f t="shared" si="28"/>
        <v xml:space="preserve">   </v>
      </c>
      <c r="BH124" s="11" t="str">
        <f t="shared" si="28"/>
        <v xml:space="preserve">   </v>
      </c>
      <c r="BI124" s="11" t="str">
        <f t="shared" si="28"/>
        <v>Fundraising &amp; Development</v>
      </c>
      <c r="BJ124" s="11" t="str">
        <f t="shared" si="28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25">
      <c r="A125" s="4"/>
      <c r="C125" s="5" t="str">
        <f>'[5]FY 22 Bud by account'!B121</f>
        <v>US CPA</v>
      </c>
      <c r="D125" s="5"/>
      <c r="F125" s="67">
        <f>'[5]FY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5"/>
        <v>3000</v>
      </c>
      <c r="T125" s="68">
        <f t="shared" si="26"/>
        <v>3000</v>
      </c>
      <c r="U125" s="68"/>
      <c r="V125" s="68">
        <f t="shared" si="19"/>
        <v>3000</v>
      </c>
      <c r="W125" s="68">
        <f t="shared" si="20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1"/>
        <v xml:space="preserve">      $3,000</v>
      </c>
      <c r="AT125" s="11" t="str">
        <f t="shared" si="27"/>
        <v/>
      </c>
      <c r="AU125" s="11" t="str">
        <f t="shared" si="27"/>
        <v/>
      </c>
      <c r="AV125" s="11" t="str">
        <f t="shared" si="27"/>
        <v/>
      </c>
      <c r="AW125" s="11" t="str">
        <f t="shared" si="27"/>
        <v/>
      </c>
      <c r="AX125" s="11" t="str">
        <f t="shared" si="27"/>
        <v/>
      </c>
      <c r="AY125" s="11" t="str">
        <f t="shared" si="27"/>
        <v xml:space="preserve">      $3,000</v>
      </c>
      <c r="AZ125" s="11" t="str">
        <f t="shared" si="27"/>
        <v/>
      </c>
      <c r="BA125" s="11" t="str">
        <f t="shared" si="27"/>
        <v/>
      </c>
      <c r="BB125" s="11" t="str">
        <f t="shared" si="27"/>
        <v/>
      </c>
      <c r="BC125" s="11" t="str">
        <f t="shared" si="27"/>
        <v/>
      </c>
      <c r="BD125" s="11" t="str">
        <f t="shared" si="27"/>
        <v/>
      </c>
      <c r="BE125" s="11" t="str">
        <f t="shared" si="27"/>
        <v/>
      </c>
      <c r="BF125" s="11" t="str">
        <f t="shared" si="28"/>
        <v xml:space="preserve">   </v>
      </c>
      <c r="BG125" s="11" t="str">
        <f t="shared" ref="BG125:BI127" si="29">IF(ISBLANK(C125),"   ",C125)</f>
        <v>US CPA</v>
      </c>
      <c r="BH125" s="11" t="str">
        <f t="shared" si="29"/>
        <v xml:space="preserve">   </v>
      </c>
      <c r="BI125" s="11" t="str">
        <f t="shared" si="29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25">
      <c r="A126" s="4"/>
      <c r="C126" s="5" t="str">
        <f>'[5]FY 22 Bud by account'!B122</f>
        <v xml:space="preserve">US Financial services </v>
      </c>
      <c r="D126" s="5"/>
      <c r="E126" s="5"/>
      <c r="F126" s="67">
        <f>'[5]FY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5"/>
        <v>108000</v>
      </c>
      <c r="T126" s="68">
        <f t="shared" si="26"/>
        <v>90000</v>
      </c>
      <c r="U126" s="68"/>
      <c r="V126" s="68">
        <f t="shared" si="19"/>
        <v>99000</v>
      </c>
      <c r="W126" s="68">
        <f t="shared" si="20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1"/>
        <v xml:space="preserve">    $108,000</v>
      </c>
      <c r="AT126" s="11" t="str">
        <f t="shared" si="27"/>
        <v xml:space="preserve">      $9,000</v>
      </c>
      <c r="AU126" s="11" t="str">
        <f t="shared" si="27"/>
        <v xml:space="preserve">      $9,000</v>
      </c>
      <c r="AV126" s="11" t="str">
        <f t="shared" si="27"/>
        <v xml:space="preserve">      $9,000</v>
      </c>
      <c r="AW126" s="11" t="str">
        <f t="shared" si="27"/>
        <v xml:space="preserve">      $9,000</v>
      </c>
      <c r="AX126" s="11" t="str">
        <f t="shared" si="27"/>
        <v xml:space="preserve">      $9,000</v>
      </c>
      <c r="AY126" s="11" t="str">
        <f t="shared" si="27"/>
        <v xml:space="preserve">      $9,000</v>
      </c>
      <c r="AZ126" s="11" t="str">
        <f t="shared" si="27"/>
        <v xml:space="preserve">      $9,000</v>
      </c>
      <c r="BA126" s="11" t="str">
        <f t="shared" si="27"/>
        <v xml:space="preserve">      $9,000</v>
      </c>
      <c r="BB126" s="11" t="str">
        <f t="shared" si="27"/>
        <v xml:space="preserve">      $9,000</v>
      </c>
      <c r="BC126" s="11" t="str">
        <f t="shared" si="27"/>
        <v xml:space="preserve">      $9,000</v>
      </c>
      <c r="BD126" s="11" t="str">
        <f t="shared" si="27"/>
        <v xml:space="preserve">      $9,000</v>
      </c>
      <c r="BE126" s="11" t="str">
        <f t="shared" si="27"/>
        <v xml:space="preserve">      $9,000</v>
      </c>
      <c r="BF126" s="11" t="str">
        <f t="shared" si="28"/>
        <v xml:space="preserve">   </v>
      </c>
      <c r="BG126" s="11" t="str">
        <f t="shared" si="29"/>
        <v xml:space="preserve">US Financial services </v>
      </c>
      <c r="BH126" s="11" t="str">
        <f t="shared" si="29"/>
        <v xml:space="preserve">   </v>
      </c>
      <c r="BI126" s="11" t="str">
        <f t="shared" si="29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25">
      <c r="A127" s="4"/>
      <c r="C127" s="5" t="str">
        <f>'[5]FY 22 Bud by account'!B123</f>
        <v xml:space="preserve">EU Expenses </v>
      </c>
      <c r="D127" s="5"/>
      <c r="E127" s="5"/>
      <c r="F127" s="67">
        <f>'[5]FY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5"/>
        <v>43000</v>
      </c>
      <c r="T127" s="68">
        <f t="shared" si="26"/>
        <v>33000</v>
      </c>
      <c r="U127" s="68"/>
      <c r="V127" s="68">
        <f t="shared" si="19"/>
        <v>33000</v>
      </c>
      <c r="W127" s="68">
        <f t="shared" si="20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1"/>
        <v xml:space="preserve">     $43,000</v>
      </c>
      <c r="AT127" s="11" t="str">
        <f t="shared" si="27"/>
        <v/>
      </c>
      <c r="AU127" s="11" t="str">
        <f t="shared" si="27"/>
        <v/>
      </c>
      <c r="AV127" s="11" t="str">
        <f t="shared" si="27"/>
        <v xml:space="preserve">     $11,000</v>
      </c>
      <c r="AW127" s="11" t="str">
        <f t="shared" si="27"/>
        <v/>
      </c>
      <c r="AX127" s="11" t="str">
        <f t="shared" si="27"/>
        <v/>
      </c>
      <c r="AY127" s="11" t="str">
        <f t="shared" si="27"/>
        <v xml:space="preserve">     $11,000</v>
      </c>
      <c r="AZ127" s="11" t="str">
        <f t="shared" si="27"/>
        <v/>
      </c>
      <c r="BA127" s="11" t="str">
        <f t="shared" si="27"/>
        <v/>
      </c>
      <c r="BB127" s="11" t="str">
        <f t="shared" si="27"/>
        <v xml:space="preserve">     $11,000</v>
      </c>
      <c r="BC127" s="11" t="str">
        <f t="shared" si="27"/>
        <v/>
      </c>
      <c r="BD127" s="11" t="str">
        <f t="shared" si="27"/>
        <v/>
      </c>
      <c r="BE127" s="11" t="str">
        <f t="shared" si="27"/>
        <v xml:space="preserve">     $10,000</v>
      </c>
      <c r="BF127" s="11" t="str">
        <f t="shared" si="28"/>
        <v xml:space="preserve">   </v>
      </c>
      <c r="BG127" s="11" t="str">
        <f t="shared" si="29"/>
        <v xml:space="preserve">EU Expenses </v>
      </c>
      <c r="BH127" s="11" t="str">
        <f t="shared" si="29"/>
        <v xml:space="preserve">   </v>
      </c>
      <c r="BI127" s="11" t="str">
        <f t="shared" si="29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25">
      <c r="A128" s="4"/>
      <c r="C128" s="5" t="str">
        <f>'[5]FY 22 Bud by account'!B124</f>
        <v>Bank Service Charges</v>
      </c>
      <c r="D128" s="5"/>
      <c r="E128" s="5"/>
      <c r="F128" s="67">
        <f>'[5]FY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5"/>
        <v>21368.429999999997</v>
      </c>
      <c r="T128" s="68">
        <f t="shared" si="26"/>
        <v>17807.024999999998</v>
      </c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'[5]FY 22 Bud by account'!B125</f>
        <v>Other G&amp;A</v>
      </c>
      <c r="D129" s="5"/>
      <c r="E129" s="5"/>
      <c r="F129" s="67">
        <f>'[5]FY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5"/>
        <v>40856.399999999994</v>
      </c>
      <c r="T129" s="68">
        <f t="shared" si="26"/>
        <v>34047</v>
      </c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'[5]FY 22 Bud by account'!B126</f>
        <v>Software/Internet/Hosting</v>
      </c>
      <c r="D130" s="5"/>
      <c r="E130" s="5"/>
      <c r="F130" s="67">
        <f>'[5]FY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5"/>
        <v>31885.250000000004</v>
      </c>
      <c r="T130" s="68">
        <f t="shared" si="26"/>
        <v>26571.041666666668</v>
      </c>
      <c r="U130" s="68"/>
      <c r="V130" s="68">
        <f t="shared" si="19"/>
        <v>29228.145833333336</v>
      </c>
      <c r="W130" s="68">
        <f t="shared" si="20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1"/>
        <v xml:space="preserve">     $31,885</v>
      </c>
      <c r="AT130" s="11" t="str">
        <f t="shared" si="27"/>
        <v xml:space="preserve">      $2,657</v>
      </c>
      <c r="AU130" s="11" t="str">
        <f t="shared" si="27"/>
        <v xml:space="preserve">      $2,657</v>
      </c>
      <c r="AV130" s="11" t="str">
        <f t="shared" si="27"/>
        <v xml:space="preserve">      $2,657</v>
      </c>
      <c r="AW130" s="11" t="str">
        <f t="shared" si="27"/>
        <v xml:space="preserve">      $2,657</v>
      </c>
      <c r="AX130" s="11" t="str">
        <f t="shared" si="27"/>
        <v xml:space="preserve">      $2,657</v>
      </c>
      <c r="AY130" s="11" t="str">
        <f t="shared" si="27"/>
        <v xml:space="preserve">      $2,657</v>
      </c>
      <c r="AZ130" s="11" t="str">
        <f t="shared" si="27"/>
        <v xml:space="preserve">      $2,657</v>
      </c>
      <c r="BA130" s="11" t="str">
        <f t="shared" si="27"/>
        <v xml:space="preserve">      $2,657</v>
      </c>
      <c r="BB130" s="11" t="str">
        <f t="shared" si="27"/>
        <v xml:space="preserve">      $2,657</v>
      </c>
      <c r="BC130" s="11" t="str">
        <f t="shared" si="27"/>
        <v xml:space="preserve">      $2,657</v>
      </c>
      <c r="BD130" s="11" t="str">
        <f t="shared" si="27"/>
        <v xml:space="preserve">      $2,657</v>
      </c>
      <c r="BE130" s="11" t="str">
        <f t="shared" si="27"/>
        <v xml:space="preserve">      $2,657</v>
      </c>
      <c r="BF130" s="11" t="str">
        <f t="shared" si="28"/>
        <v xml:space="preserve">   </v>
      </c>
      <c r="BG130" s="11" t="str">
        <f t="shared" ref="BG130:BI131" si="30">IF(ISBLANK(C130),"   ",C130)</f>
        <v>Software/Internet/Hosting</v>
      </c>
      <c r="BH130" s="11" t="str">
        <f t="shared" si="30"/>
        <v xml:space="preserve">   </v>
      </c>
      <c r="BI130" s="11" t="str">
        <f t="shared" si="30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25">
      <c r="A131" s="4"/>
      <c r="C131" s="5" t="str">
        <f>'[5]FY 22 Bud by account'!B127</f>
        <v>Portal &amp; Web</v>
      </c>
      <c r="D131" s="5"/>
      <c r="E131" s="5"/>
      <c r="F131" s="67">
        <f>'[5]FY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5"/>
        <v>4871.17</v>
      </c>
      <c r="T131" s="68">
        <f t="shared" si="26"/>
        <v>4059.3083333333334</v>
      </c>
      <c r="U131" s="68"/>
      <c r="V131" s="68">
        <f t="shared" si="19"/>
        <v>4465.2391666666663</v>
      </c>
      <c r="W131" s="68">
        <f t="shared" si="20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1"/>
        <v xml:space="preserve">      $4,871</v>
      </c>
      <c r="AT131" s="11" t="str">
        <f t="shared" si="27"/>
        <v xml:space="preserve">        $406</v>
      </c>
      <c r="AU131" s="11" t="str">
        <f t="shared" si="27"/>
        <v xml:space="preserve">        $406</v>
      </c>
      <c r="AV131" s="11" t="str">
        <f t="shared" si="27"/>
        <v xml:space="preserve">        $406</v>
      </c>
      <c r="AW131" s="11" t="str">
        <f t="shared" si="27"/>
        <v xml:space="preserve">        $406</v>
      </c>
      <c r="AX131" s="11" t="str">
        <f t="shared" si="27"/>
        <v xml:space="preserve">        $406</v>
      </c>
      <c r="AY131" s="11" t="str">
        <f t="shared" si="27"/>
        <v xml:space="preserve">        $406</v>
      </c>
      <c r="AZ131" s="11" t="str">
        <f t="shared" si="27"/>
        <v xml:space="preserve">        $406</v>
      </c>
      <c r="BA131" s="11" t="str">
        <f t="shared" si="27"/>
        <v xml:space="preserve">        $406</v>
      </c>
      <c r="BB131" s="11" t="str">
        <f t="shared" si="27"/>
        <v xml:space="preserve">        $406</v>
      </c>
      <c r="BC131" s="11" t="str">
        <f t="shared" si="27"/>
        <v xml:space="preserve">        $406</v>
      </c>
      <c r="BD131" s="11" t="str">
        <f t="shared" si="27"/>
        <v xml:space="preserve">        $406</v>
      </c>
      <c r="BE131" s="11" t="str">
        <f t="shared" si="27"/>
        <v xml:space="preserve">        $406</v>
      </c>
      <c r="BF131" s="11" t="str">
        <f t="shared" si="28"/>
        <v xml:space="preserve">   </v>
      </c>
      <c r="BG131" s="11" t="str">
        <f t="shared" si="30"/>
        <v>Portal &amp; Web</v>
      </c>
      <c r="BH131" s="11" t="str">
        <f t="shared" si="30"/>
        <v xml:space="preserve">   </v>
      </c>
      <c r="BI131" s="11" t="str">
        <f t="shared" si="30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>
        <f t="shared" si="26"/>
        <v>0</v>
      </c>
      <c r="U132" s="68"/>
      <c r="V132" s="68">
        <f t="shared" si="19"/>
        <v>0</v>
      </c>
      <c r="W132" s="68">
        <f t="shared" si="20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1"/>
        <v/>
      </c>
      <c r="AT132" s="11" t="str">
        <f t="shared" si="27"/>
        <v/>
      </c>
      <c r="AU132" s="11" t="str">
        <f t="shared" si="27"/>
        <v/>
      </c>
      <c r="AV132" s="11" t="str">
        <f t="shared" si="27"/>
        <v/>
      </c>
      <c r="AW132" s="11" t="str">
        <f t="shared" si="27"/>
        <v/>
      </c>
      <c r="AX132" s="11" t="str">
        <f t="shared" si="27"/>
        <v/>
      </c>
      <c r="AY132" s="11" t="str">
        <f t="shared" si="27"/>
        <v/>
      </c>
      <c r="AZ132" s="11" t="str">
        <f t="shared" si="27"/>
        <v/>
      </c>
      <c r="BA132" s="11" t="str">
        <f t="shared" si="27"/>
        <v/>
      </c>
      <c r="BB132" s="11" t="str">
        <f t="shared" si="27"/>
        <v/>
      </c>
      <c r="BC132" s="11" t="str">
        <f t="shared" si="27"/>
        <v/>
      </c>
      <c r="BD132" s="11" t="str">
        <f t="shared" si="27"/>
        <v/>
      </c>
      <c r="BE132" s="11" t="str">
        <f t="shared" si="27"/>
        <v/>
      </c>
      <c r="BF132" s="11" t="str">
        <f t="shared" si="28"/>
        <v xml:space="preserve">   </v>
      </c>
      <c r="BG132" s="11" t="str">
        <f t="shared" si="28"/>
        <v xml:space="preserve">   </v>
      </c>
      <c r="BH132" s="11" t="str">
        <f t="shared" si="28"/>
        <v xml:space="preserve">   </v>
      </c>
      <c r="BI132" s="11" t="str">
        <f t="shared" si="28"/>
        <v xml:space="preserve">   </v>
      </c>
      <c r="BJ132" s="11" t="str">
        <f t="shared" si="28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196</v>
      </c>
      <c r="F133" s="70">
        <f t="shared" ref="F133:S133" si="31">SUM(F42:F132)</f>
        <v>2154731.838</v>
      </c>
      <c r="G133" s="70">
        <f t="shared" si="31"/>
        <v>100429.31983333334</v>
      </c>
      <c r="H133" s="70">
        <f t="shared" si="31"/>
        <v>100429.31983333334</v>
      </c>
      <c r="I133" s="70">
        <f t="shared" si="31"/>
        <v>137824.31983333337</v>
      </c>
      <c r="J133" s="70">
        <f t="shared" si="31"/>
        <v>108429.31983333334</v>
      </c>
      <c r="K133" s="70">
        <f t="shared" si="31"/>
        <v>200429.31983333334</v>
      </c>
      <c r="L133" s="70">
        <f t="shared" si="31"/>
        <v>198324.31983333334</v>
      </c>
      <c r="M133" s="70">
        <f t="shared" si="31"/>
        <v>110429.31983333334</v>
      </c>
      <c r="N133" s="70">
        <f t="shared" si="31"/>
        <v>100429.31983333334</v>
      </c>
      <c r="O133" s="70">
        <f>SUM(O42:O132)</f>
        <v>177824.31983333334</v>
      </c>
      <c r="P133" s="70">
        <f t="shared" si="31"/>
        <v>637929.31983333325</v>
      </c>
      <c r="Q133" s="70">
        <f t="shared" si="31"/>
        <v>155429.31983333334</v>
      </c>
      <c r="R133" s="70">
        <f t="shared" si="31"/>
        <v>126824.31983333334</v>
      </c>
      <c r="S133" s="70">
        <f t="shared" si="31"/>
        <v>2154731.838</v>
      </c>
      <c r="T133" s="68">
        <f t="shared" si="26"/>
        <v>1872478.1983333332</v>
      </c>
      <c r="U133" s="69"/>
      <c r="V133" s="68">
        <f t="shared" si="19"/>
        <v>2027907.5181666666</v>
      </c>
      <c r="W133" s="68">
        <f t="shared" si="20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1"/>
        <v xml:space="preserve">  $2,154,732</v>
      </c>
      <c r="AT133" s="11" t="str">
        <f t="shared" si="27"/>
        <v xml:space="preserve">    $100,429</v>
      </c>
      <c r="AU133" s="11" t="str">
        <f t="shared" si="27"/>
        <v xml:space="preserve">    $100,429</v>
      </c>
      <c r="AV133" s="11" t="str">
        <f t="shared" si="27"/>
        <v xml:space="preserve">    $137,824</v>
      </c>
      <c r="AW133" s="11" t="str">
        <f t="shared" si="27"/>
        <v xml:space="preserve">    $108,429</v>
      </c>
      <c r="AX133" s="11" t="str">
        <f t="shared" si="27"/>
        <v xml:space="preserve">    $200,429</v>
      </c>
      <c r="AY133" s="11" t="str">
        <f t="shared" si="27"/>
        <v xml:space="preserve">    $198,324</v>
      </c>
      <c r="AZ133" s="11" t="str">
        <f t="shared" si="27"/>
        <v xml:space="preserve">    $110,429</v>
      </c>
      <c r="BA133" s="11" t="str">
        <f t="shared" si="27"/>
        <v xml:space="preserve">    $100,429</v>
      </c>
      <c r="BB133" s="11" t="str">
        <f t="shared" si="27"/>
        <v xml:space="preserve">    $177,824</v>
      </c>
      <c r="BC133" s="11" t="str">
        <f t="shared" si="27"/>
        <v xml:space="preserve">    $637,929</v>
      </c>
      <c r="BD133" s="11" t="str">
        <f t="shared" si="27"/>
        <v xml:space="preserve">    $155,429</v>
      </c>
      <c r="BE133" s="11" t="str">
        <f t="shared" si="27"/>
        <v xml:space="preserve">    $126,824</v>
      </c>
      <c r="BF133" s="11" t="str">
        <f t="shared" si="28"/>
        <v xml:space="preserve">   </v>
      </c>
      <c r="BG133" s="11" t="str">
        <f t="shared" si="28"/>
        <v xml:space="preserve">   </v>
      </c>
      <c r="BH133" s="11" t="str">
        <f t="shared" si="28"/>
        <v xml:space="preserve">   </v>
      </c>
      <c r="BI133" s="11" t="str">
        <f t="shared" si="28"/>
        <v xml:space="preserve">   </v>
      </c>
      <c r="BJ133" s="11" t="str">
        <f t="shared" si="28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197</v>
      </c>
      <c r="F134" s="71">
        <f t="shared" ref="F134:S134" si="32">F38-F133</f>
        <v>268.16200000001118</v>
      </c>
      <c r="G134" s="71">
        <f t="shared" si="32"/>
        <v>-47929.319833333349</v>
      </c>
      <c r="H134" s="71">
        <f t="shared" si="32"/>
        <v>-37929.319833333349</v>
      </c>
      <c r="I134" s="71">
        <f t="shared" si="32"/>
        <v>-51824.319833333371</v>
      </c>
      <c r="J134" s="71">
        <f t="shared" si="32"/>
        <v>-55929.319833333349</v>
      </c>
      <c r="K134" s="71">
        <f t="shared" si="32"/>
        <v>-47929.319833333342</v>
      </c>
      <c r="L134" s="71">
        <f t="shared" si="32"/>
        <v>187675.68016666666</v>
      </c>
      <c r="M134" s="71">
        <f t="shared" si="32"/>
        <v>-51929.319833333349</v>
      </c>
      <c r="N134" s="71">
        <f t="shared" si="32"/>
        <v>-47929.319833333349</v>
      </c>
      <c r="O134" s="71">
        <f t="shared" si="32"/>
        <v>133175.68016666666</v>
      </c>
      <c r="P134" s="71">
        <f t="shared" si="32"/>
        <v>79570.680166666745</v>
      </c>
      <c r="Q134" s="71">
        <f t="shared" si="32"/>
        <v>-17929.319833333342</v>
      </c>
      <c r="R134" s="71">
        <f t="shared" si="32"/>
        <v>-40824.319833333342</v>
      </c>
      <c r="S134" s="71">
        <f t="shared" si="32"/>
        <v>268.16200000001118</v>
      </c>
      <c r="T134" s="68">
        <f>SUM(G134:P134)</f>
        <v>59021.801666666637</v>
      </c>
      <c r="U134" s="69"/>
      <c r="V134" s="68">
        <f t="shared" si="19"/>
        <v>41092.481833333295</v>
      </c>
      <c r="W134" s="68">
        <f t="shared" si="20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1"/>
        <v xml:space="preserve">      $0,268</v>
      </c>
      <c r="AT134" s="11" t="str">
        <f t="shared" ref="AT134:BE136" si="33">IF(ISBLANK(G134),"",RIGHT(REPT(" ",15)&amp;TEXT(G134,"$#,##0"),12))</f>
        <v xml:space="preserve">    -$47,929</v>
      </c>
      <c r="AU134" s="11" t="str">
        <f t="shared" si="33"/>
        <v xml:space="preserve">    -$37,929</v>
      </c>
      <c r="AV134" s="11" t="str">
        <f t="shared" si="33"/>
        <v xml:space="preserve">    -$51,824</v>
      </c>
      <c r="AW134" s="11" t="str">
        <f t="shared" si="33"/>
        <v xml:space="preserve">    -$55,929</v>
      </c>
      <c r="AX134" s="11" t="str">
        <f t="shared" si="33"/>
        <v xml:space="preserve">    -$47,929</v>
      </c>
      <c r="AY134" s="11" t="str">
        <f t="shared" si="33"/>
        <v xml:space="preserve">    $187,676</v>
      </c>
      <c r="AZ134" s="11" t="str">
        <f t="shared" si="33"/>
        <v xml:space="preserve">    -$51,929</v>
      </c>
      <c r="BA134" s="11" t="str">
        <f t="shared" si="33"/>
        <v xml:space="preserve">    -$47,929</v>
      </c>
      <c r="BB134" s="11" t="str">
        <f t="shared" si="33"/>
        <v xml:space="preserve">    $133,176</v>
      </c>
      <c r="BC134" s="11" t="str">
        <f t="shared" si="33"/>
        <v xml:space="preserve">     $79,571</v>
      </c>
      <c r="BD134" s="11" t="str">
        <f t="shared" si="33"/>
        <v xml:space="preserve">    -$17,929</v>
      </c>
      <c r="BE134" s="11" t="str">
        <f t="shared" si="33"/>
        <v xml:space="preserve">    -$40,824</v>
      </c>
      <c r="BF134" s="11" t="str">
        <f t="shared" ref="BF134:BJ135" si="34">IF(ISBLANK(A134),"   ",A134)</f>
        <v xml:space="preserve">   </v>
      </c>
      <c r="BG134" s="11" t="str">
        <f t="shared" si="34"/>
        <v xml:space="preserve">   </v>
      </c>
      <c r="BH134" s="11" t="str">
        <f t="shared" si="34"/>
        <v xml:space="preserve">   </v>
      </c>
      <c r="BI134" s="11" t="str">
        <f t="shared" si="34"/>
        <v xml:space="preserve">   </v>
      </c>
      <c r="BJ134" s="11" t="str">
        <f t="shared" si="34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5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1"/>
        <v/>
      </c>
      <c r="AT135" s="11" t="str">
        <f t="shared" si="33"/>
        <v/>
      </c>
      <c r="AU135" s="11" t="str">
        <f t="shared" si="33"/>
        <v/>
      </c>
      <c r="AV135" s="11" t="str">
        <f t="shared" si="33"/>
        <v/>
      </c>
      <c r="AW135" s="11" t="str">
        <f t="shared" si="33"/>
        <v/>
      </c>
      <c r="AX135" s="11" t="str">
        <f t="shared" si="33"/>
        <v/>
      </c>
      <c r="AY135" s="11" t="str">
        <f t="shared" si="33"/>
        <v/>
      </c>
      <c r="AZ135" s="11" t="str">
        <f t="shared" si="33"/>
        <v/>
      </c>
      <c r="BA135" s="11" t="str">
        <f t="shared" si="33"/>
        <v/>
      </c>
      <c r="BB135" s="11" t="str">
        <f t="shared" si="33"/>
        <v/>
      </c>
      <c r="BC135" s="11" t="str">
        <f t="shared" si="33"/>
        <v/>
      </c>
      <c r="BD135" s="11" t="str">
        <f t="shared" si="33"/>
        <v/>
      </c>
      <c r="BE135" s="11" t="str">
        <f t="shared" si="33"/>
        <v xml:space="preserve">    -$40,824</v>
      </c>
      <c r="BF135" s="11" t="str">
        <f t="shared" si="34"/>
        <v xml:space="preserve">   </v>
      </c>
      <c r="BG135" s="11" t="str">
        <f t="shared" si="34"/>
        <v xml:space="preserve">   </v>
      </c>
      <c r="BH135" s="11" t="str">
        <f t="shared" si="34"/>
        <v xml:space="preserve">   </v>
      </c>
      <c r="BI135" s="11" t="str">
        <f t="shared" si="34"/>
        <v xml:space="preserve">   </v>
      </c>
      <c r="BJ135" s="11" t="str">
        <f t="shared" si="34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6">
        <f t="shared" ref="G136:R136" si="36">G124+G123+G111+G101+G91+G76+G65+G47</f>
        <v>53217.548999999992</v>
      </c>
      <c r="H136" s="56">
        <f t="shared" si="36"/>
        <v>53217.548999999992</v>
      </c>
      <c r="I136" s="56">
        <f t="shared" si="36"/>
        <v>53217.548999999992</v>
      </c>
      <c r="J136" s="56">
        <f t="shared" si="36"/>
        <v>53217.548999999992</v>
      </c>
      <c r="K136" s="56">
        <f t="shared" si="36"/>
        <v>53217.548999999992</v>
      </c>
      <c r="L136" s="56">
        <f t="shared" si="36"/>
        <v>53217.548999999992</v>
      </c>
      <c r="M136" s="56">
        <f t="shared" si="36"/>
        <v>53217.548999999992</v>
      </c>
      <c r="N136" s="56">
        <f t="shared" si="36"/>
        <v>53217.548999999992</v>
      </c>
      <c r="O136" s="56">
        <f t="shared" si="36"/>
        <v>103217.549</v>
      </c>
      <c r="P136" s="56">
        <f t="shared" si="36"/>
        <v>53217.548999999992</v>
      </c>
      <c r="Q136" s="56">
        <f t="shared" si="36"/>
        <v>53217.548999999992</v>
      </c>
      <c r="R136" s="56">
        <f t="shared" si="36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1"/>
        <v/>
      </c>
      <c r="AT136" s="11" t="str">
        <f t="shared" si="33"/>
        <v xml:space="preserve">     $53,218</v>
      </c>
      <c r="AU136" s="11" t="str">
        <f t="shared" si="33"/>
        <v xml:space="preserve">     $53,218</v>
      </c>
      <c r="AV136" s="11" t="str">
        <f t="shared" si="33"/>
        <v xml:space="preserve">     $53,218</v>
      </c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21" orientation="landscape" r:id="rId1"/>
  <ignoredErrors>
    <ignoredError sqref="T37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style="75" bestFit="1" customWidth="1"/>
    <col min="6" max="6" width="7.28515625" style="75" customWidth="1"/>
    <col min="7" max="7" width="7.85546875" style="75" bestFit="1" customWidth="1"/>
    <col min="8" max="8" width="8.71093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style="75" bestFit="1" customWidth="1"/>
    <col min="5" max="6" width="5.85546875" style="75" bestFit="1" customWidth="1"/>
    <col min="7" max="7" width="6.28515625" style="75" bestFit="1" customWidth="1"/>
    <col min="8" max="8" width="7.85546875" style="75" bestFit="1" customWidth="1"/>
    <col min="9" max="16384" width="9.140625" style="75"/>
  </cols>
  <sheetData>
    <row r="1" spans="1:9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.75" thickTop="1" x14ac:dyDescent="0.2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2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2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2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2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2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2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2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2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2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2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2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.75" thickBot="1" x14ac:dyDescent="0.3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2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2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2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2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2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1.25" x14ac:dyDescent="0.2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25">
      <c r="A21" s="95"/>
      <c r="B21" s="95"/>
    </row>
    <row r="22" spans="1:8" s="96" customFormat="1" x14ac:dyDescent="0.25">
      <c r="A22" s="95"/>
      <c r="B22" s="95"/>
    </row>
    <row r="23" spans="1:8" s="96" customFormat="1" x14ac:dyDescent="0.25">
      <c r="A23" s="95"/>
      <c r="B23" s="95"/>
    </row>
    <row r="24" spans="1:8" s="96" customFormat="1" x14ac:dyDescent="0.2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67"/>
  <sheetViews>
    <sheetView zoomScale="120" zoomScaleNormal="120" workbookViewId="0">
      <pane xSplit="6" ySplit="2" topLeftCell="G3" activePane="bottomRight" state="frozenSplit"/>
      <selection pane="topRight" activeCell="G1" sqref="G1"/>
      <selection pane="bottomLeft" activeCell="A3" sqref="A3"/>
      <selection pane="bottomRight" activeCell="K2" sqref="K2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9" width="11.5703125" style="175" customWidth="1"/>
    <col min="10" max="10" width="11.28515625" style="162" customWidth="1"/>
    <col min="11" max="11" width="11.42578125" style="162" customWidth="1"/>
    <col min="12" max="16384" width="8.7109375" style="162"/>
  </cols>
  <sheetData>
    <row r="1" spans="1:12" ht="15.75" thickBot="1" x14ac:dyDescent="0.3">
      <c r="A1" s="163"/>
      <c r="B1" s="163"/>
      <c r="C1" s="163"/>
      <c r="D1" s="163"/>
      <c r="E1" s="163"/>
      <c r="F1" s="163"/>
      <c r="G1" s="179"/>
      <c r="H1" s="179"/>
      <c r="I1" s="179"/>
      <c r="J1" s="100"/>
      <c r="L1" s="182"/>
    </row>
    <row r="2" spans="1:12" s="3" customFormat="1" ht="16.5" thickTop="1" thickBot="1" x14ac:dyDescent="0.3">
      <c r="A2" s="164"/>
      <c r="B2" s="164"/>
      <c r="C2" s="164"/>
      <c r="D2" s="164"/>
      <c r="E2" s="164"/>
      <c r="F2" s="164"/>
      <c r="G2" s="185">
        <v>44865</v>
      </c>
      <c r="H2" s="185">
        <v>44500</v>
      </c>
      <c r="I2" s="178" t="s">
        <v>7736</v>
      </c>
      <c r="J2" s="99" t="s">
        <v>7735</v>
      </c>
      <c r="K2" s="39" t="s">
        <v>224</v>
      </c>
    </row>
    <row r="3" spans="1:12" ht="15.75" thickTop="1" x14ac:dyDescent="0.25">
      <c r="A3" s="163" t="s">
        <v>50</v>
      </c>
      <c r="B3" s="163"/>
      <c r="C3" s="163"/>
      <c r="D3" s="163"/>
      <c r="E3" s="163"/>
      <c r="F3" s="163"/>
      <c r="G3" s="172"/>
      <c r="H3" s="172"/>
      <c r="I3" s="172"/>
      <c r="J3" s="136"/>
    </row>
    <row r="4" spans="1:12" x14ac:dyDescent="0.25">
      <c r="A4" s="163"/>
      <c r="B4" s="163" t="s">
        <v>51</v>
      </c>
      <c r="C4" s="163"/>
      <c r="D4" s="163"/>
      <c r="E4" s="163"/>
      <c r="F4" s="163"/>
      <c r="G4" s="172"/>
      <c r="H4" s="172"/>
      <c r="I4" s="172"/>
      <c r="J4" s="136"/>
    </row>
    <row r="5" spans="1:12" x14ac:dyDescent="0.25">
      <c r="A5" s="163"/>
      <c r="B5" s="163"/>
      <c r="C5" s="163" t="s">
        <v>52</v>
      </c>
      <c r="D5" s="163"/>
      <c r="E5" s="163"/>
      <c r="F5" s="163"/>
      <c r="G5" s="172"/>
      <c r="H5" s="172"/>
      <c r="I5" s="172"/>
      <c r="J5" s="136"/>
    </row>
    <row r="6" spans="1:12" x14ac:dyDescent="0.25">
      <c r="A6" s="163"/>
      <c r="B6" s="163"/>
      <c r="C6" s="163"/>
      <c r="D6" s="163" t="s">
        <v>68</v>
      </c>
      <c r="E6" s="163"/>
      <c r="F6" s="163"/>
      <c r="G6" s="172">
        <v>13543.37</v>
      </c>
      <c r="H6" s="172">
        <v>1027.97</v>
      </c>
      <c r="I6" s="172">
        <f>ROUND((G6-H6),5)</f>
        <v>12515.4</v>
      </c>
      <c r="J6" s="136">
        <f>ROUND(IF(G6=0, IF(H6=0, 0, SIGN(-H6)), IF(H6=0, SIGN(G6), (G6-H6)/ABS(H6))),5)</f>
        <v>12.17487</v>
      </c>
    </row>
    <row r="7" spans="1:12" x14ac:dyDescent="0.25">
      <c r="A7" s="163"/>
      <c r="B7" s="163"/>
      <c r="C7" s="163"/>
      <c r="D7" s="163" t="s">
        <v>69</v>
      </c>
      <c r="E7" s="163"/>
      <c r="F7" s="163"/>
      <c r="G7" s="172">
        <v>27690.34</v>
      </c>
      <c r="H7" s="172">
        <v>9189.94</v>
      </c>
      <c r="I7" s="172">
        <f>ROUND((G7-H7),5)</f>
        <v>18500.400000000001</v>
      </c>
      <c r="J7" s="136">
        <f>ROUND(IF(G7=0, IF(H7=0, 0, SIGN(-H7)), IF(H7=0, SIGN(G7), (G7-H7)/ABS(H7))),5)</f>
        <v>2.0131100000000002</v>
      </c>
    </row>
    <row r="8" spans="1:12" x14ac:dyDescent="0.25">
      <c r="A8" s="163"/>
      <c r="B8" s="163"/>
      <c r="C8" s="163"/>
      <c r="D8" s="163" t="s">
        <v>70</v>
      </c>
      <c r="E8" s="163"/>
      <c r="F8" s="163"/>
      <c r="G8" s="172">
        <v>10909.59</v>
      </c>
      <c r="H8" s="172">
        <v>10906.45</v>
      </c>
      <c r="I8" s="172">
        <f>ROUND((G8-H8),5)</f>
        <v>3.14</v>
      </c>
      <c r="J8" s="136">
        <f>ROUND(IF(G8=0, IF(H8=0, 0, SIGN(-H8)), IF(H8=0, SIGN(G8), (G8-H8)/ABS(H8))),5)</f>
        <v>2.9E-4</v>
      </c>
    </row>
    <row r="9" spans="1:12" ht="15.75" thickBot="1" x14ac:dyDescent="0.3">
      <c r="A9" s="163"/>
      <c r="B9" s="163"/>
      <c r="C9" s="163"/>
      <c r="D9" s="163" t="s">
        <v>71</v>
      </c>
      <c r="E9" s="163"/>
      <c r="F9" s="163"/>
      <c r="G9" s="176">
        <v>2227588.13</v>
      </c>
      <c r="H9" s="176">
        <v>1198196.02</v>
      </c>
      <c r="I9" s="176">
        <f>ROUND((G9-H9),5)</f>
        <v>1029392.11</v>
      </c>
      <c r="J9" s="138">
        <f>ROUND(IF(G9=0, IF(H9=0, 0, SIGN(-H9)), IF(H9=0, SIGN(G9), (G9-H9)/ABS(H9))),5)</f>
        <v>0.85911999999999999</v>
      </c>
    </row>
    <row r="10" spans="1:12" x14ac:dyDescent="0.25">
      <c r="A10" s="163"/>
      <c r="B10" s="163"/>
      <c r="C10" s="163" t="s">
        <v>72</v>
      </c>
      <c r="D10" s="163"/>
      <c r="E10" s="163"/>
      <c r="F10" s="163"/>
      <c r="G10" s="172">
        <f>ROUND(SUM(G5:G9),5)</f>
        <v>2279731.4300000002</v>
      </c>
      <c r="H10" s="172">
        <f>ROUND(SUM(H5:H9),5)</f>
        <v>1219320.3799999999</v>
      </c>
      <c r="I10" s="172">
        <f>ROUND((G10-H10),5)</f>
        <v>1060411.05</v>
      </c>
      <c r="J10" s="136">
        <f>ROUND(IF(G10=0, IF(H10=0, 0, SIGN(-H10)), IF(H10=0, SIGN(G10), (G10-H10)/ABS(H10))),5)</f>
        <v>0.86967000000000005</v>
      </c>
    </row>
    <row r="11" spans="1:12" x14ac:dyDescent="0.25">
      <c r="A11" s="163"/>
      <c r="B11" s="163"/>
      <c r="C11" s="163" t="s">
        <v>53</v>
      </c>
      <c r="D11" s="163"/>
      <c r="E11" s="163"/>
      <c r="F11" s="163"/>
      <c r="G11" s="172"/>
      <c r="H11" s="172"/>
      <c r="I11" s="172"/>
      <c r="J11" s="136"/>
    </row>
    <row r="12" spans="1:12" ht="15.75" thickBot="1" x14ac:dyDescent="0.3">
      <c r="A12" s="163"/>
      <c r="B12" s="163"/>
      <c r="C12" s="163"/>
      <c r="D12" s="163" t="s">
        <v>53</v>
      </c>
      <c r="E12" s="163"/>
      <c r="F12" s="163"/>
      <c r="G12" s="176">
        <v>116649.05</v>
      </c>
      <c r="H12" s="176">
        <v>257268.1</v>
      </c>
      <c r="I12" s="176">
        <f>ROUND((G12-H12),5)</f>
        <v>-140619.04999999999</v>
      </c>
      <c r="J12" s="138">
        <f>ROUND(IF(G12=0, IF(H12=0, 0, SIGN(-H12)), IF(H12=0, SIGN(G12), (G12-H12)/ABS(H12))),5)</f>
        <v>-0.54659000000000002</v>
      </c>
    </row>
    <row r="13" spans="1:12" x14ac:dyDescent="0.25">
      <c r="A13" s="163"/>
      <c r="B13" s="163"/>
      <c r="C13" s="163" t="s">
        <v>73</v>
      </c>
      <c r="D13" s="163"/>
      <c r="E13" s="163"/>
      <c r="F13" s="163"/>
      <c r="G13" s="172">
        <f>ROUND(SUM(G11:G12),5)</f>
        <v>116649.05</v>
      </c>
      <c r="H13" s="172">
        <f>ROUND(SUM(H11:H12),5)</f>
        <v>257268.1</v>
      </c>
      <c r="I13" s="172">
        <f>ROUND((G13-H13),5)</f>
        <v>-140619.04999999999</v>
      </c>
      <c r="J13" s="136">
        <f>ROUND(IF(G13=0, IF(H13=0, 0, SIGN(-H13)), IF(H13=0, SIGN(G13), (G13-H13)/ABS(H13))),5)</f>
        <v>-0.54659000000000002</v>
      </c>
    </row>
    <row r="14" spans="1:12" x14ac:dyDescent="0.25">
      <c r="A14" s="163"/>
      <c r="B14" s="163"/>
      <c r="C14" s="163" t="s">
        <v>54</v>
      </c>
      <c r="D14" s="163"/>
      <c r="E14" s="163"/>
      <c r="F14" s="163"/>
      <c r="G14" s="172"/>
      <c r="H14" s="172"/>
      <c r="I14" s="172"/>
      <c r="J14" s="136"/>
    </row>
    <row r="15" spans="1:12" ht="15.75" thickBot="1" x14ac:dyDescent="0.3">
      <c r="A15" s="163"/>
      <c r="B15" s="163"/>
      <c r="C15" s="163"/>
      <c r="D15" s="163" t="s">
        <v>74</v>
      </c>
      <c r="E15" s="163"/>
      <c r="F15" s="163"/>
      <c r="G15" s="173">
        <v>0</v>
      </c>
      <c r="H15" s="173">
        <v>62525.48</v>
      </c>
      <c r="I15" s="173">
        <f>ROUND((G15-H15),5)</f>
        <v>-62525.48</v>
      </c>
      <c r="J15" s="136">
        <f>ROUND(IF(G15=0, IF(H15=0, 0, SIGN(-H15)), IF(H15=0, SIGN(G15), (G15-H15)/ABS(H15))),5)</f>
        <v>-1</v>
      </c>
    </row>
    <row r="16" spans="1:12" ht="15.75" thickBot="1" x14ac:dyDescent="0.3">
      <c r="A16" s="163"/>
      <c r="B16" s="163"/>
      <c r="C16" s="163" t="s">
        <v>75</v>
      </c>
      <c r="D16" s="163"/>
      <c r="E16" s="163"/>
      <c r="F16" s="163"/>
      <c r="G16" s="177">
        <f>ROUND(SUM(G14:G15),5)</f>
        <v>0</v>
      </c>
      <c r="H16" s="177">
        <f>ROUND(SUM(H14:H15),5)</f>
        <v>62525.48</v>
      </c>
      <c r="I16" s="177">
        <f>ROUND((G16-H16),5)</f>
        <v>-62525.48</v>
      </c>
      <c r="J16" s="137">
        <f>ROUND(IF(G16=0, IF(H16=0, 0, SIGN(-H16)), IF(H16=0, SIGN(G16), (G16-H16)/ABS(H16))),5)</f>
        <v>-1</v>
      </c>
    </row>
    <row r="17" spans="1:10" x14ac:dyDescent="0.25">
      <c r="A17" s="163"/>
      <c r="B17" s="163" t="s">
        <v>55</v>
      </c>
      <c r="C17" s="163"/>
      <c r="D17" s="163"/>
      <c r="E17" s="163"/>
      <c r="F17" s="163"/>
      <c r="G17" s="172">
        <f>ROUND(G4+G10+G13+G16,5)</f>
        <v>2396380.48</v>
      </c>
      <c r="H17" s="172">
        <f>ROUND(H4+H10+H13+H16,5)</f>
        <v>1539113.96</v>
      </c>
      <c r="I17" s="172">
        <f>ROUND((G17-H17),5)</f>
        <v>857266.52</v>
      </c>
      <c r="J17" s="136">
        <f>ROUND(IF(G17=0, IF(H17=0, 0, SIGN(-H17)), IF(H17=0, SIGN(G17), (G17-H17)/ABS(H17))),5)</f>
        <v>0.55698999999999999</v>
      </c>
    </row>
    <row r="18" spans="1:10" x14ac:dyDescent="0.25">
      <c r="A18" s="163"/>
      <c r="B18" s="163" t="s">
        <v>56</v>
      </c>
      <c r="C18" s="163"/>
      <c r="D18" s="163"/>
      <c r="E18" s="163"/>
      <c r="F18" s="163"/>
      <c r="G18" s="172"/>
      <c r="H18" s="172"/>
      <c r="I18" s="172"/>
      <c r="J18" s="136"/>
    </row>
    <row r="19" spans="1:10" x14ac:dyDescent="0.25">
      <c r="A19" s="163"/>
      <c r="B19" s="163"/>
      <c r="C19" s="163" t="s">
        <v>76</v>
      </c>
      <c r="D19" s="163"/>
      <c r="E19" s="163"/>
      <c r="F19" s="163"/>
      <c r="G19" s="172"/>
      <c r="H19" s="172"/>
      <c r="I19" s="172"/>
      <c r="J19" s="136"/>
    </row>
    <row r="20" spans="1:10" x14ac:dyDescent="0.25">
      <c r="A20" s="163"/>
      <c r="B20" s="163"/>
      <c r="C20" s="163"/>
      <c r="D20" s="163" t="s">
        <v>77</v>
      </c>
      <c r="E20" s="163"/>
      <c r="F20" s="163"/>
      <c r="G20" s="172">
        <v>-45454.86</v>
      </c>
      <c r="H20" s="172">
        <v>-40862.980000000003</v>
      </c>
      <c r="I20" s="172">
        <f>ROUND((G20-H20),5)</f>
        <v>-4591.88</v>
      </c>
      <c r="J20" s="136">
        <f>ROUND(IF(G20=0, IF(H20=0, 0, SIGN(-H20)), IF(H20=0, SIGN(G20), (G20-H20)/ABS(H20))),5)</f>
        <v>-0.11237</v>
      </c>
    </row>
    <row r="21" spans="1:10" ht="15.75" thickBot="1" x14ac:dyDescent="0.3">
      <c r="A21" s="163"/>
      <c r="B21" s="163"/>
      <c r="C21" s="163"/>
      <c r="D21" s="163" t="s">
        <v>78</v>
      </c>
      <c r="E21" s="163"/>
      <c r="F21" s="163"/>
      <c r="G21" s="176">
        <v>45454.86</v>
      </c>
      <c r="H21" s="176">
        <v>45454.86</v>
      </c>
      <c r="I21" s="176">
        <f>ROUND((G21-H21),5)</f>
        <v>0</v>
      </c>
      <c r="J21" s="138">
        <f>ROUND(IF(G21=0, IF(H21=0, 0, SIGN(-H21)), IF(H21=0, SIGN(G21), (G21-H21)/ABS(H21))),5)</f>
        <v>0</v>
      </c>
    </row>
    <row r="22" spans="1:10" x14ac:dyDescent="0.25">
      <c r="A22" s="163"/>
      <c r="B22" s="163"/>
      <c r="C22" s="163" t="s">
        <v>79</v>
      </c>
      <c r="D22" s="163"/>
      <c r="E22" s="163"/>
      <c r="F22" s="163"/>
      <c r="G22" s="172">
        <f>ROUND(SUM(G19:G21),5)</f>
        <v>0</v>
      </c>
      <c r="H22" s="172">
        <f>ROUND(SUM(H19:H21),5)</f>
        <v>4591.88</v>
      </c>
      <c r="I22" s="172">
        <f>ROUND((G22-H22),5)</f>
        <v>-4591.88</v>
      </c>
      <c r="J22" s="136">
        <f>ROUND(IF(G22=0, IF(H22=0, 0, SIGN(-H22)), IF(H22=0, SIGN(G22), (G22-H22)/ABS(H22))),5)</f>
        <v>-1</v>
      </c>
    </row>
    <row r="23" spans="1:10" x14ac:dyDescent="0.25">
      <c r="A23" s="163"/>
      <c r="B23" s="163"/>
      <c r="C23" s="163" t="s">
        <v>80</v>
      </c>
      <c r="D23" s="163"/>
      <c r="E23" s="163"/>
      <c r="F23" s="163"/>
      <c r="G23" s="172"/>
      <c r="H23" s="172"/>
      <c r="I23" s="172"/>
      <c r="J23" s="136"/>
    </row>
    <row r="24" spans="1:10" x14ac:dyDescent="0.25">
      <c r="A24" s="163"/>
      <c r="B24" s="163"/>
      <c r="C24" s="163"/>
      <c r="D24" s="163" t="s">
        <v>81</v>
      </c>
      <c r="E24" s="163"/>
      <c r="F24" s="163"/>
      <c r="G24" s="172">
        <v>-30000</v>
      </c>
      <c r="H24" s="172">
        <v>-30000</v>
      </c>
      <c r="I24" s="172">
        <f>ROUND((G24-H24),5)</f>
        <v>0</v>
      </c>
      <c r="J24" s="136">
        <f>ROUND(IF(G24=0, IF(H24=0, 0, SIGN(-H24)), IF(H24=0, SIGN(G24), (G24-H24)/ABS(H24))),5)</f>
        <v>0</v>
      </c>
    </row>
    <row r="25" spans="1:10" ht="15.75" thickBot="1" x14ac:dyDescent="0.3">
      <c r="A25" s="163"/>
      <c r="B25" s="163"/>
      <c r="C25" s="163"/>
      <c r="D25" s="163" t="s">
        <v>82</v>
      </c>
      <c r="E25" s="163"/>
      <c r="F25" s="163"/>
      <c r="G25" s="173">
        <v>30000</v>
      </c>
      <c r="H25" s="173">
        <v>30000</v>
      </c>
      <c r="I25" s="173">
        <f>ROUND((G25-H25),5)</f>
        <v>0</v>
      </c>
      <c r="J25" s="136">
        <f>ROUND(IF(G25=0, IF(H25=0, 0, SIGN(-H25)), IF(H25=0, SIGN(G25), (G25-H25)/ABS(H25))),5)</f>
        <v>0</v>
      </c>
    </row>
    <row r="26" spans="1:10" ht="15.75" thickBot="1" x14ac:dyDescent="0.3">
      <c r="A26" s="163"/>
      <c r="B26" s="163"/>
      <c r="C26" s="163" t="s">
        <v>83</v>
      </c>
      <c r="D26" s="163"/>
      <c r="E26" s="163"/>
      <c r="F26" s="163"/>
      <c r="G26" s="177">
        <f>ROUND(SUM(G23:G25),5)</f>
        <v>0</v>
      </c>
      <c r="H26" s="177">
        <f>ROUND(SUM(H23:H25),5)</f>
        <v>0</v>
      </c>
      <c r="I26" s="177">
        <f>ROUND((G26-H26),5)</f>
        <v>0</v>
      </c>
      <c r="J26" s="137">
        <f>ROUND(IF(G26=0, IF(H26=0, 0, SIGN(-H26)), IF(H26=0, SIGN(G26), (G26-H26)/ABS(H26))),5)</f>
        <v>0</v>
      </c>
    </row>
    <row r="27" spans="1:10" x14ac:dyDescent="0.25">
      <c r="A27" s="163"/>
      <c r="B27" s="163" t="s">
        <v>84</v>
      </c>
      <c r="C27" s="163"/>
      <c r="D27" s="163"/>
      <c r="E27" s="163"/>
      <c r="F27" s="163"/>
      <c r="G27" s="172">
        <f>ROUND(G18+G22+G26,5)</f>
        <v>0</v>
      </c>
      <c r="H27" s="172">
        <f>ROUND(H18+H22+H26,5)</f>
        <v>4591.88</v>
      </c>
      <c r="I27" s="172">
        <f>ROUND((G27-H27),5)</f>
        <v>-4591.88</v>
      </c>
      <c r="J27" s="136">
        <f>ROUND(IF(G27=0, IF(H27=0, 0, SIGN(-H27)), IF(H27=0, SIGN(G27), (G27-H27)/ABS(H27))),5)</f>
        <v>-1</v>
      </c>
    </row>
    <row r="28" spans="1:10" x14ac:dyDescent="0.25">
      <c r="A28" s="163"/>
      <c r="B28" s="163" t="s">
        <v>57</v>
      </c>
      <c r="C28" s="163"/>
      <c r="D28" s="163"/>
      <c r="E28" s="163"/>
      <c r="F28" s="163"/>
      <c r="G28" s="172"/>
      <c r="H28" s="172"/>
      <c r="I28" s="172"/>
      <c r="J28" s="136"/>
    </row>
    <row r="29" spans="1:10" x14ac:dyDescent="0.25">
      <c r="A29" s="163"/>
      <c r="B29" s="163"/>
      <c r="C29" s="163" t="s">
        <v>85</v>
      </c>
      <c r="D29" s="163"/>
      <c r="E29" s="163"/>
      <c r="F29" s="163"/>
      <c r="G29" s="172">
        <v>0</v>
      </c>
      <c r="H29" s="172">
        <v>36147.800000000003</v>
      </c>
      <c r="I29" s="172">
        <f>ROUND((G29-H29),5)</f>
        <v>-36147.800000000003</v>
      </c>
      <c r="J29" s="136">
        <f>ROUND(IF(G29=0, IF(H29=0, 0, SIGN(-H29)), IF(H29=0, SIGN(G29), (G29-H29)/ABS(H29))),5)</f>
        <v>-1</v>
      </c>
    </row>
    <row r="30" spans="1:10" x14ac:dyDescent="0.25">
      <c r="A30" s="163"/>
      <c r="B30" s="163"/>
      <c r="C30" s="163" t="s">
        <v>86</v>
      </c>
      <c r="D30" s="163"/>
      <c r="E30" s="163"/>
      <c r="F30" s="163"/>
      <c r="G30" s="172"/>
      <c r="H30" s="172"/>
      <c r="I30" s="172"/>
      <c r="J30" s="136"/>
    </row>
    <row r="31" spans="1:10" x14ac:dyDescent="0.25">
      <c r="A31" s="163"/>
      <c r="B31" s="163"/>
      <c r="C31" s="163"/>
      <c r="D31" s="163" t="s">
        <v>7808</v>
      </c>
      <c r="E31" s="163"/>
      <c r="F31" s="163"/>
      <c r="G31" s="172">
        <v>0</v>
      </c>
      <c r="H31" s="172">
        <v>0</v>
      </c>
      <c r="I31" s="172">
        <f t="shared" ref="I31:I39" si="0">ROUND((G31-H31),5)</f>
        <v>0</v>
      </c>
      <c r="J31" s="136">
        <f t="shared" ref="J31:J39" si="1">ROUND(IF(G31=0, IF(H31=0, 0, SIGN(-H31)), IF(H31=0, SIGN(G31), (G31-H31)/ABS(H31))),5)</f>
        <v>0</v>
      </c>
    </row>
    <row r="32" spans="1:10" x14ac:dyDescent="0.25">
      <c r="A32" s="163"/>
      <c r="B32" s="163"/>
      <c r="C32" s="163"/>
      <c r="D32" s="163" t="s">
        <v>87</v>
      </c>
      <c r="E32" s="163"/>
      <c r="F32" s="163"/>
      <c r="G32" s="172">
        <v>67922.5</v>
      </c>
      <c r="H32" s="172">
        <v>24073.09</v>
      </c>
      <c r="I32" s="172">
        <f t="shared" si="0"/>
        <v>43849.41</v>
      </c>
      <c r="J32" s="136">
        <f t="shared" si="1"/>
        <v>1.82151</v>
      </c>
    </row>
    <row r="33" spans="1:10" x14ac:dyDescent="0.25">
      <c r="A33" s="163"/>
      <c r="B33" s="163"/>
      <c r="C33" s="163"/>
      <c r="D33" s="163" t="s">
        <v>7803</v>
      </c>
      <c r="E33" s="163"/>
      <c r="F33" s="163"/>
      <c r="G33" s="172">
        <v>0</v>
      </c>
      <c r="H33" s="172">
        <v>963.4</v>
      </c>
      <c r="I33" s="172">
        <f t="shared" si="0"/>
        <v>-963.4</v>
      </c>
      <c r="J33" s="136">
        <f t="shared" si="1"/>
        <v>-1</v>
      </c>
    </row>
    <row r="34" spans="1:10" s="183" customFormat="1" x14ac:dyDescent="0.25">
      <c r="A34" s="184"/>
      <c r="B34" s="184"/>
      <c r="C34" s="184"/>
      <c r="D34" s="184" t="s">
        <v>7478</v>
      </c>
      <c r="E34" s="184"/>
      <c r="F34" s="184"/>
      <c r="G34" s="172">
        <v>656.01</v>
      </c>
      <c r="H34" s="172">
        <v>0</v>
      </c>
      <c r="I34" s="172">
        <f t="shared" si="0"/>
        <v>656.01</v>
      </c>
      <c r="J34" s="136">
        <f t="shared" si="1"/>
        <v>1</v>
      </c>
    </row>
    <row r="35" spans="1:10" x14ac:dyDescent="0.25">
      <c r="A35" s="163"/>
      <c r="B35" s="163"/>
      <c r="C35" s="163"/>
      <c r="D35" s="163" t="s">
        <v>94</v>
      </c>
      <c r="E35" s="163"/>
      <c r="F35" s="163"/>
      <c r="G35" s="172">
        <v>6635.59</v>
      </c>
      <c r="H35" s="172">
        <v>23000</v>
      </c>
      <c r="I35" s="172">
        <f t="shared" si="0"/>
        <v>-16364.41</v>
      </c>
      <c r="J35" s="136">
        <f t="shared" si="1"/>
        <v>-0.71150000000000002</v>
      </c>
    </row>
    <row r="36" spans="1:10" ht="15.75" thickBot="1" x14ac:dyDescent="0.3">
      <c r="A36" s="163"/>
      <c r="B36" s="163"/>
      <c r="C36" s="163"/>
      <c r="D36" s="163" t="s">
        <v>89</v>
      </c>
      <c r="E36" s="163"/>
      <c r="F36" s="163"/>
      <c r="G36" s="173">
        <v>20390.47</v>
      </c>
      <c r="H36" s="173">
        <v>9085.1</v>
      </c>
      <c r="I36" s="173">
        <f t="shared" si="0"/>
        <v>11305.37</v>
      </c>
      <c r="J36" s="136">
        <f t="shared" si="1"/>
        <v>1.2443900000000001</v>
      </c>
    </row>
    <row r="37" spans="1:10" ht="15.75" thickBot="1" x14ac:dyDescent="0.3">
      <c r="A37" s="163"/>
      <c r="B37" s="163"/>
      <c r="C37" s="163" t="s">
        <v>90</v>
      </c>
      <c r="D37" s="163"/>
      <c r="E37" s="163"/>
      <c r="F37" s="163"/>
      <c r="G37" s="180">
        <f>ROUND(SUM(G30:G36),5)</f>
        <v>95604.57</v>
      </c>
      <c r="H37" s="180">
        <f>ROUND(SUM(H30:H36),5)</f>
        <v>57121.59</v>
      </c>
      <c r="I37" s="180">
        <f t="shared" si="0"/>
        <v>38482.980000000003</v>
      </c>
      <c r="J37" s="135">
        <f t="shared" si="1"/>
        <v>0.67369999999999997</v>
      </c>
    </row>
    <row r="38" spans="1:10" ht="15.75" thickBot="1" x14ac:dyDescent="0.3">
      <c r="A38" s="163"/>
      <c r="B38" s="163" t="s">
        <v>91</v>
      </c>
      <c r="C38" s="163"/>
      <c r="D38" s="163"/>
      <c r="E38" s="163"/>
      <c r="F38" s="163"/>
      <c r="G38" s="180">
        <f>ROUND(SUM(G28:G29)+G37,5)</f>
        <v>95604.57</v>
      </c>
      <c r="H38" s="180">
        <f>ROUND(SUM(H28:H29)+H37,5)</f>
        <v>93269.39</v>
      </c>
      <c r="I38" s="180">
        <f t="shared" si="0"/>
        <v>2335.1799999999998</v>
      </c>
      <c r="J38" s="135">
        <f t="shared" si="1"/>
        <v>2.504E-2</v>
      </c>
    </row>
    <row r="39" spans="1:10" s="2" customFormat="1" ht="12" thickBot="1" x14ac:dyDescent="0.25">
      <c r="A39" s="163" t="s">
        <v>58</v>
      </c>
      <c r="B39" s="163"/>
      <c r="C39" s="163"/>
      <c r="D39" s="163"/>
      <c r="E39" s="163"/>
      <c r="F39" s="163"/>
      <c r="G39" s="174">
        <f>ROUND(G3+G17+G27+G38,5)</f>
        <v>2491985.0499999998</v>
      </c>
      <c r="H39" s="174">
        <f>ROUND(H3+H17+H27+H38,5)</f>
        <v>1636975.23</v>
      </c>
      <c r="I39" s="174">
        <f t="shared" si="0"/>
        <v>855009.82</v>
      </c>
      <c r="J39" s="134">
        <f t="shared" si="1"/>
        <v>0.52231000000000005</v>
      </c>
    </row>
    <row r="40" spans="1:10" ht="15.75" thickTop="1" x14ac:dyDescent="0.25">
      <c r="A40" s="163" t="s">
        <v>59</v>
      </c>
      <c r="B40" s="163"/>
      <c r="C40" s="163"/>
      <c r="D40" s="163"/>
      <c r="E40" s="163"/>
      <c r="F40" s="163"/>
      <c r="G40" s="172"/>
      <c r="H40" s="172"/>
      <c r="I40" s="172"/>
      <c r="J40" s="136"/>
    </row>
    <row r="41" spans="1:10" x14ac:dyDescent="0.25">
      <c r="A41" s="163"/>
      <c r="B41" s="163" t="s">
        <v>60</v>
      </c>
      <c r="C41" s="163"/>
      <c r="D41" s="163"/>
      <c r="E41" s="163"/>
      <c r="F41" s="163"/>
      <c r="G41" s="172"/>
      <c r="H41" s="172"/>
      <c r="I41" s="172"/>
      <c r="J41" s="136"/>
    </row>
    <row r="42" spans="1:10" x14ac:dyDescent="0.25">
      <c r="A42" s="163"/>
      <c r="B42" s="163"/>
      <c r="C42" s="163" t="s">
        <v>61</v>
      </c>
      <c r="D42" s="163"/>
      <c r="E42" s="163"/>
      <c r="F42" s="163"/>
      <c r="G42" s="172"/>
      <c r="H42" s="172"/>
      <c r="I42" s="172"/>
      <c r="J42" s="136"/>
    </row>
    <row r="43" spans="1:10" x14ac:dyDescent="0.25">
      <c r="A43" s="163"/>
      <c r="B43" s="163"/>
      <c r="C43" s="163"/>
      <c r="D43" s="163" t="s">
        <v>62</v>
      </c>
      <c r="E43" s="163"/>
      <c r="F43" s="163"/>
      <c r="G43" s="172"/>
      <c r="H43" s="172"/>
      <c r="I43" s="172"/>
      <c r="J43" s="136"/>
    </row>
    <row r="44" spans="1:10" ht="15.75" thickBot="1" x14ac:dyDescent="0.3">
      <c r="A44" s="163"/>
      <c r="B44" s="163"/>
      <c r="C44" s="163"/>
      <c r="D44" s="163"/>
      <c r="E44" s="163" t="s">
        <v>62</v>
      </c>
      <c r="F44" s="163"/>
      <c r="G44" s="176">
        <v>38020.74</v>
      </c>
      <c r="H44" s="176">
        <v>19605.41</v>
      </c>
      <c r="I44" s="176">
        <f>ROUND((G44-H44),5)</f>
        <v>18415.330000000002</v>
      </c>
      <c r="J44" s="138">
        <f>ROUND(IF(G44=0, IF(H44=0, 0, SIGN(-H44)), IF(H44=0, SIGN(G44), (G44-H44)/ABS(H44))),5)</f>
        <v>0.93930000000000002</v>
      </c>
    </row>
    <row r="45" spans="1:10" x14ac:dyDescent="0.25">
      <c r="A45" s="163"/>
      <c r="B45" s="163"/>
      <c r="C45" s="163"/>
      <c r="D45" s="163" t="s">
        <v>92</v>
      </c>
      <c r="E45" s="163"/>
      <c r="F45" s="163"/>
      <c r="G45" s="172">
        <f>ROUND(SUM(G43:G44),5)</f>
        <v>38020.74</v>
      </c>
      <c r="H45" s="172">
        <f>ROUND(SUM(H43:H44),5)</f>
        <v>19605.41</v>
      </c>
      <c r="I45" s="172">
        <f>ROUND((G45-H45),5)</f>
        <v>18415.330000000002</v>
      </c>
      <c r="J45" s="136">
        <f>ROUND(IF(G45=0, IF(H45=0, 0, SIGN(-H45)), IF(H45=0, SIGN(G45), (G45-H45)/ABS(H45))),5)</f>
        <v>0.93930000000000002</v>
      </c>
    </row>
    <row r="46" spans="1:10" x14ac:dyDescent="0.25">
      <c r="A46" s="163"/>
      <c r="B46" s="163"/>
      <c r="C46" s="163"/>
      <c r="D46" s="163" t="s">
        <v>63</v>
      </c>
      <c r="E46" s="163"/>
      <c r="F46" s="163"/>
      <c r="G46" s="172"/>
      <c r="H46" s="172"/>
      <c r="I46" s="172"/>
      <c r="J46" s="136"/>
    </row>
    <row r="47" spans="1:10" x14ac:dyDescent="0.25">
      <c r="A47" s="163"/>
      <c r="B47" s="163"/>
      <c r="C47" s="163"/>
      <c r="D47" s="163"/>
      <c r="E47" s="163" t="s">
        <v>7850</v>
      </c>
      <c r="F47" s="163"/>
      <c r="G47" s="172">
        <v>15000</v>
      </c>
      <c r="H47" s="172">
        <v>0</v>
      </c>
      <c r="I47" s="172">
        <f>ROUND((G47-H47),5)</f>
        <v>15000</v>
      </c>
      <c r="J47" s="136">
        <f>ROUND(IF(G47=0, IF(H47=0, 0, SIGN(-H47)), IF(H47=0, SIGN(G47), (G47-H47)/ABS(H47))),5)</f>
        <v>1</v>
      </c>
    </row>
    <row r="48" spans="1:10" x14ac:dyDescent="0.25">
      <c r="A48" s="163"/>
      <c r="B48" s="163"/>
      <c r="C48" s="163"/>
      <c r="D48" s="163"/>
      <c r="E48" s="163" t="s">
        <v>93</v>
      </c>
      <c r="F48" s="163"/>
      <c r="G48" s="172"/>
      <c r="H48" s="172"/>
      <c r="I48" s="172"/>
      <c r="J48" s="136"/>
    </row>
    <row r="49" spans="1:10" x14ac:dyDescent="0.25">
      <c r="A49" s="163"/>
      <c r="B49" s="163"/>
      <c r="C49" s="163"/>
      <c r="D49" s="163"/>
      <c r="E49" s="163"/>
      <c r="F49" s="163" t="s">
        <v>7676</v>
      </c>
      <c r="G49" s="172">
        <v>250014.57</v>
      </c>
      <c r="H49" s="172">
        <v>222116.67</v>
      </c>
      <c r="I49" s="172">
        <f t="shared" ref="I49:I55" si="2">ROUND((G49-H49),5)</f>
        <v>27897.9</v>
      </c>
      <c r="J49" s="136">
        <f t="shared" ref="J49:J55" si="3">ROUND(IF(G49=0, IF(H49=0, 0, SIGN(-H49)), IF(H49=0, SIGN(G49), (G49-H49)/ABS(H49))),5)</f>
        <v>0.12559999999999999</v>
      </c>
    </row>
    <row r="50" spans="1:10" x14ac:dyDescent="0.25">
      <c r="A50" s="163"/>
      <c r="B50" s="163"/>
      <c r="C50" s="163"/>
      <c r="D50" s="163"/>
      <c r="E50" s="163"/>
      <c r="F50" s="163" t="s">
        <v>7554</v>
      </c>
      <c r="G50" s="172">
        <v>20333.330000000002</v>
      </c>
      <c r="H50" s="172">
        <v>27000</v>
      </c>
      <c r="I50" s="172">
        <f t="shared" si="2"/>
        <v>-6666.67</v>
      </c>
      <c r="J50" s="136">
        <f t="shared" si="3"/>
        <v>-0.24690999999999999</v>
      </c>
    </row>
    <row r="51" spans="1:10" x14ac:dyDescent="0.25">
      <c r="A51" s="163"/>
      <c r="B51" s="163"/>
      <c r="C51" s="163"/>
      <c r="D51" s="163"/>
      <c r="E51" s="163"/>
      <c r="F51" s="163" t="s">
        <v>94</v>
      </c>
      <c r="G51" s="172">
        <v>747600</v>
      </c>
      <c r="H51" s="172">
        <v>193391.05</v>
      </c>
      <c r="I51" s="172">
        <f t="shared" si="2"/>
        <v>554208.94999999995</v>
      </c>
      <c r="J51" s="136">
        <f t="shared" si="3"/>
        <v>2.8657400000000002</v>
      </c>
    </row>
    <row r="52" spans="1:10" s="183" customFormat="1" x14ac:dyDescent="0.25">
      <c r="A52" s="184"/>
      <c r="B52" s="184"/>
      <c r="C52" s="184"/>
      <c r="D52" s="184"/>
      <c r="E52" s="184"/>
      <c r="F52" s="184" t="s">
        <v>7873</v>
      </c>
      <c r="G52" s="172">
        <v>7000</v>
      </c>
      <c r="H52" s="172">
        <v>0</v>
      </c>
      <c r="I52" s="172">
        <f t="shared" si="2"/>
        <v>7000</v>
      </c>
      <c r="J52" s="136">
        <f t="shared" si="3"/>
        <v>1</v>
      </c>
    </row>
    <row r="53" spans="1:10" x14ac:dyDescent="0.25">
      <c r="A53" s="163"/>
      <c r="B53" s="163"/>
      <c r="C53" s="163"/>
      <c r="D53" s="163"/>
      <c r="E53" s="163"/>
      <c r="F53" s="163" t="s">
        <v>7816</v>
      </c>
      <c r="G53" s="172">
        <v>0</v>
      </c>
      <c r="H53" s="172">
        <v>6005.92</v>
      </c>
      <c r="I53" s="172">
        <f t="shared" si="2"/>
        <v>-6005.92</v>
      </c>
      <c r="J53" s="136">
        <f t="shared" si="3"/>
        <v>-1</v>
      </c>
    </row>
    <row r="54" spans="1:10" x14ac:dyDescent="0.25">
      <c r="A54" s="163"/>
      <c r="B54" s="163"/>
      <c r="C54" s="163"/>
      <c r="D54" s="163"/>
      <c r="E54" s="163"/>
      <c r="F54" s="163" t="s">
        <v>95</v>
      </c>
      <c r="G54" s="172">
        <v>0</v>
      </c>
      <c r="H54" s="172">
        <v>67775.03</v>
      </c>
      <c r="I54" s="172">
        <f t="shared" si="2"/>
        <v>-67775.03</v>
      </c>
      <c r="J54" s="136">
        <f t="shared" si="3"/>
        <v>-1</v>
      </c>
    </row>
    <row r="55" spans="1:10" ht="15.75" thickBot="1" x14ac:dyDescent="0.3">
      <c r="A55" s="163"/>
      <c r="B55" s="163"/>
      <c r="C55" s="163"/>
      <c r="D55" s="163"/>
      <c r="E55" s="163"/>
      <c r="F55" s="184" t="s">
        <v>7866</v>
      </c>
      <c r="G55" s="176">
        <v>0</v>
      </c>
      <c r="H55" s="176">
        <v>29498</v>
      </c>
      <c r="I55" s="176">
        <f t="shared" si="2"/>
        <v>-29498</v>
      </c>
      <c r="J55" s="138">
        <f t="shared" si="3"/>
        <v>-1</v>
      </c>
    </row>
    <row r="56" spans="1:10" x14ac:dyDescent="0.25">
      <c r="A56" s="163"/>
      <c r="B56" s="163"/>
      <c r="C56" s="163"/>
      <c r="D56" s="163"/>
      <c r="E56" s="163" t="s">
        <v>96</v>
      </c>
      <c r="F56" s="163"/>
      <c r="G56" s="172">
        <f>ROUND(SUM(G48:G55),5)</f>
        <v>1024947.9</v>
      </c>
      <c r="H56" s="172">
        <f>ROUND(SUM(H48:H55),5)</f>
        <v>545786.67000000004</v>
      </c>
      <c r="I56" s="172">
        <f t="shared" ref="I56:I60" si="4">ROUND((G56-H56),5)</f>
        <v>479161.23</v>
      </c>
      <c r="J56" s="136">
        <f t="shared" ref="J56:J60" si="5">ROUND(IF(G56=0, IF(H56=0, 0, SIGN(-H56)), IF(H56=0, SIGN(G56), (G56-H56)/ABS(H56))),5)</f>
        <v>0.87792999999999999</v>
      </c>
    </row>
    <row r="57" spans="1:10" ht="15.75" thickBot="1" x14ac:dyDescent="0.3">
      <c r="A57" s="163"/>
      <c r="B57" s="163"/>
      <c r="C57" s="163"/>
      <c r="D57" s="163"/>
      <c r="E57" s="163" t="s">
        <v>7695</v>
      </c>
      <c r="F57" s="163"/>
      <c r="G57" s="173">
        <v>1179.8499999999999</v>
      </c>
      <c r="H57" s="173">
        <v>5300</v>
      </c>
      <c r="I57" s="173">
        <f t="shared" si="4"/>
        <v>-4120.1499999999996</v>
      </c>
      <c r="J57" s="136">
        <f t="shared" si="5"/>
        <v>-0.77739000000000003</v>
      </c>
    </row>
    <row r="58" spans="1:10" ht="15.75" thickBot="1" x14ac:dyDescent="0.3">
      <c r="A58" s="163"/>
      <c r="B58" s="163"/>
      <c r="C58" s="163"/>
      <c r="D58" s="163" t="s">
        <v>97</v>
      </c>
      <c r="E58" s="163"/>
      <c r="F58" s="163"/>
      <c r="G58" s="180">
        <f>ROUND(SUM(G46:G47)+SUM(G56:G57),5)</f>
        <v>1041127.75</v>
      </c>
      <c r="H58" s="180">
        <f>ROUND(SUM(H46:H47)+SUM(H56:H57),5)</f>
        <v>551086.67000000004</v>
      </c>
      <c r="I58" s="180">
        <f t="shared" si="4"/>
        <v>490041.08</v>
      </c>
      <c r="J58" s="135">
        <f t="shared" si="5"/>
        <v>0.88922999999999996</v>
      </c>
    </row>
    <row r="59" spans="1:10" ht="15.75" thickBot="1" x14ac:dyDescent="0.3">
      <c r="A59" s="163"/>
      <c r="B59" s="163"/>
      <c r="C59" s="163" t="s">
        <v>64</v>
      </c>
      <c r="D59" s="163"/>
      <c r="E59" s="163"/>
      <c r="F59" s="163"/>
      <c r="G59" s="177">
        <f>ROUND(G42+G45+G58,5)</f>
        <v>1079148.49</v>
      </c>
      <c r="H59" s="177">
        <f>ROUND(H42+H45+H58,5)</f>
        <v>570692.07999999996</v>
      </c>
      <c r="I59" s="177">
        <f t="shared" si="4"/>
        <v>508456.41</v>
      </c>
      <c r="J59" s="137">
        <f t="shared" si="5"/>
        <v>0.89095000000000002</v>
      </c>
    </row>
    <row r="60" spans="1:10" x14ac:dyDescent="0.25">
      <c r="A60" s="163"/>
      <c r="B60" s="163" t="s">
        <v>65</v>
      </c>
      <c r="C60" s="163"/>
      <c r="D60" s="163"/>
      <c r="E60" s="163"/>
      <c r="F60" s="163"/>
      <c r="G60" s="172">
        <f>ROUND(G41+G59,5)</f>
        <v>1079148.49</v>
      </c>
      <c r="H60" s="172">
        <f>ROUND(H41+H59,5)</f>
        <v>570692.07999999996</v>
      </c>
      <c r="I60" s="172">
        <f t="shared" si="4"/>
        <v>508456.41</v>
      </c>
      <c r="J60" s="136">
        <f t="shared" si="5"/>
        <v>0.89095000000000002</v>
      </c>
    </row>
    <row r="61" spans="1:10" x14ac:dyDescent="0.25">
      <c r="A61" s="163"/>
      <c r="B61" s="163" t="s">
        <v>66</v>
      </c>
      <c r="C61" s="163"/>
      <c r="D61" s="163"/>
      <c r="E61" s="163"/>
      <c r="F61" s="163"/>
      <c r="G61" s="172"/>
      <c r="H61" s="172"/>
      <c r="I61" s="172"/>
      <c r="J61" s="136"/>
    </row>
    <row r="62" spans="1:10" x14ac:dyDescent="0.25">
      <c r="A62" s="163"/>
      <c r="B62" s="163"/>
      <c r="C62" s="163" t="s">
        <v>98</v>
      </c>
      <c r="D62" s="163"/>
      <c r="E62" s="163"/>
      <c r="F62" s="163"/>
      <c r="G62" s="172">
        <v>68313.3</v>
      </c>
      <c r="H62" s="172">
        <v>168597.13</v>
      </c>
      <c r="I62" s="172">
        <f>ROUND((G62-H62),5)</f>
        <v>-100283.83</v>
      </c>
      <c r="J62" s="136">
        <f>ROUND(IF(G62=0, IF(H62=0, 0, SIGN(-H62)), IF(H62=0, SIGN(G62), (G62-H62)/ABS(H62))),5)</f>
        <v>-0.59480999999999995</v>
      </c>
    </row>
    <row r="63" spans="1:10" x14ac:dyDescent="0.25">
      <c r="A63" s="163"/>
      <c r="B63" s="163"/>
      <c r="C63" s="163" t="s">
        <v>99</v>
      </c>
      <c r="D63" s="163"/>
      <c r="E63" s="163"/>
      <c r="F63" s="163"/>
      <c r="G63" s="172">
        <v>1115191.8400000001</v>
      </c>
      <c r="H63" s="172">
        <v>817695.88</v>
      </c>
      <c r="I63" s="172">
        <f>ROUND((G63-H63),5)</f>
        <v>297495.96000000002</v>
      </c>
      <c r="J63" s="136">
        <f>ROUND(IF(G63=0, IF(H63=0, 0, SIGN(-H63)), IF(H63=0, SIGN(G63), (G63-H63)/ABS(H63))),5)</f>
        <v>0.36381999999999998</v>
      </c>
    </row>
    <row r="64" spans="1:10" ht="15.75" thickBot="1" x14ac:dyDescent="0.3">
      <c r="A64" s="163"/>
      <c r="B64" s="163"/>
      <c r="C64" s="163" t="s">
        <v>49</v>
      </c>
      <c r="D64" s="163"/>
      <c r="E64" s="163"/>
      <c r="F64" s="163"/>
      <c r="G64" s="173">
        <v>229331.42</v>
      </c>
      <c r="H64" s="173">
        <v>79990.14</v>
      </c>
      <c r="I64" s="173">
        <f>ROUND((G64-H64),5)</f>
        <v>149341.28</v>
      </c>
      <c r="J64" s="136">
        <f>ROUND(IF(G64=0, IF(H64=0, 0, SIGN(-H64)), IF(H64=0, SIGN(G64), (G64-H64)/ABS(H64))),5)</f>
        <v>1.867</v>
      </c>
    </row>
    <row r="65" spans="1:10" ht="15.75" thickBot="1" x14ac:dyDescent="0.3">
      <c r="A65" s="163"/>
      <c r="B65" s="163" t="s">
        <v>100</v>
      </c>
      <c r="C65" s="163"/>
      <c r="D65" s="163"/>
      <c r="E65" s="163"/>
      <c r="F65" s="163"/>
      <c r="G65" s="180">
        <f>ROUND(SUM(G61:G64),5)</f>
        <v>1412836.56</v>
      </c>
      <c r="H65" s="180">
        <f>ROUND(SUM(H61:H64),5)</f>
        <v>1066283.1499999999</v>
      </c>
      <c r="I65" s="180">
        <f>ROUND((G65-H65),5)</f>
        <v>346553.41</v>
      </c>
      <c r="J65" s="135">
        <f>ROUND(IF(G65=0, IF(H65=0, 0, SIGN(-H65)), IF(H65=0, SIGN(G65), (G65-H65)/ABS(H65))),5)</f>
        <v>0.32501000000000002</v>
      </c>
    </row>
    <row r="66" spans="1:10" s="2" customFormat="1" ht="12" thickBot="1" x14ac:dyDescent="0.25">
      <c r="A66" s="163" t="s">
        <v>67</v>
      </c>
      <c r="B66" s="163"/>
      <c r="C66" s="163"/>
      <c r="D66" s="163"/>
      <c r="E66" s="163"/>
      <c r="F66" s="163"/>
      <c r="G66" s="174">
        <f>ROUND(G40+G60+G65,5)</f>
        <v>2491985.0499999998</v>
      </c>
      <c r="H66" s="174">
        <f>ROUND(H40+H60+H65,5)</f>
        <v>1636975.23</v>
      </c>
      <c r="I66" s="174">
        <f>ROUND((G66-H66),5)</f>
        <v>855009.82</v>
      </c>
      <c r="J66" s="134">
        <f>ROUND(IF(G66=0, IF(H66=0, 0, SIGN(-H66)), IF(H66=0, SIGN(G66), (G66-H66)/ABS(H66))),5)</f>
        <v>0.52231000000000005</v>
      </c>
    </row>
    <row r="67" spans="1:10" ht="15.75" thickTop="1" x14ac:dyDescent="0.25"/>
  </sheetData>
  <hyperlinks>
    <hyperlink ref="K2" location="Contents!A1" display="Contents" xr:uid="{5910B0DB-CAFC-4A89-9133-2C9EA55876AD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3:H5 H31 G56:H56 G10:H11 G13:H14 G16:H19 G22:H23 G26:H28 G30:H30 G37:H43 G45:H46 G48:H48" formulaRange="1"/>
  </ignoredErrors>
  <drawing r:id="rId2"/>
  <legacyDrawing r:id="rId3"/>
  <controls>
    <mc:AlternateContent xmlns:mc="http://schemas.openxmlformats.org/markup-compatibility/2006">
      <mc:Choice Requires="x14">
        <control shapeId="11571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4" name="FILTER"/>
      </mc:Fallback>
    </mc:AlternateContent>
    <mc:AlternateContent xmlns:mc="http://schemas.openxmlformats.org/markup-compatibility/2006">
      <mc:Choice Requires="x14">
        <control shapeId="11571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6" name="HEAD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style="75" bestFit="1" customWidth="1"/>
    <col min="4" max="4" width="5" style="75" bestFit="1" customWidth="1"/>
    <col min="5" max="5" width="5.8554687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40625" style="75"/>
  </cols>
  <sheetData>
    <row r="1" spans="1:10" s="3" customFormat="1" ht="15.75" thickBot="1" x14ac:dyDescent="0.3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.75" thickTop="1" x14ac:dyDescent="0.2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2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2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2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.75" thickBot="1" x14ac:dyDescent="0.3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2" thickBot="1" x14ac:dyDescent="0.25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2" width="3" style="75" customWidth="1"/>
    <col min="3" max="3" width="30.2851562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5.5703125" style="75" bestFit="1" customWidth="1"/>
    <col min="8" max="8" width="29.1406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2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2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.75" thickBot="1" x14ac:dyDescent="0.3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2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2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2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.75" thickBot="1" x14ac:dyDescent="0.3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2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2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2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2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.75" thickBot="1" x14ac:dyDescent="0.3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2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2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2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.75" thickBot="1" x14ac:dyDescent="0.3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2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2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2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.75" thickBot="1" x14ac:dyDescent="0.3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2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2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2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2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2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2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2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2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2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2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2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2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.75" thickBot="1" x14ac:dyDescent="0.3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2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2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.75" thickBot="1" x14ac:dyDescent="0.3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2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2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.75" thickBot="1" x14ac:dyDescent="0.3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2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2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2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2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2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2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.75" thickBot="1" x14ac:dyDescent="0.3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2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2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2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.75" thickBot="1" x14ac:dyDescent="0.3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2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2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2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2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2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2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2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2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2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2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2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2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2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.75" thickBot="1" x14ac:dyDescent="0.3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2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2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.75" thickBot="1" x14ac:dyDescent="0.3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2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2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2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2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2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2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2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2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2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2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2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2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.75" thickBot="1" x14ac:dyDescent="0.3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2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2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2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2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2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2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.75" thickBot="1" x14ac:dyDescent="0.3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2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2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2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2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2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2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2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2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2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2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2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.75" thickBot="1" x14ac:dyDescent="0.3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2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2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2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.75" thickBot="1" x14ac:dyDescent="0.3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2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2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2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.75" thickBot="1" x14ac:dyDescent="0.3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2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2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2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.75" thickBot="1" x14ac:dyDescent="0.3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2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2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2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2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2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2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2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2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2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2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2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2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2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2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2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2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2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.75" thickBot="1" x14ac:dyDescent="0.3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2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2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2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2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2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2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.75" thickBot="1" x14ac:dyDescent="0.3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2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2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2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2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2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.75" thickBot="1" x14ac:dyDescent="0.3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2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2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2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2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2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.75" thickBot="1" x14ac:dyDescent="0.3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2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2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2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2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2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2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2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2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2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2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2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2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2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.75" thickBot="1" x14ac:dyDescent="0.3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2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2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2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2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.75" thickBot="1" x14ac:dyDescent="0.3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2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2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2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2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2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2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2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2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2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2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2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.75" thickBot="1" x14ac:dyDescent="0.3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2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2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2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.75" thickBot="1" x14ac:dyDescent="0.3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2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2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2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2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2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2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2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2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2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2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2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2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2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2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2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2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2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2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2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2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2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2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2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2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2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2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2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2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2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2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2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2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2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2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2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2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2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2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2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.75" thickBot="1" x14ac:dyDescent="0.3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2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2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2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.75" thickBot="1" x14ac:dyDescent="0.3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2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2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2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2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2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2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.75" thickBot="1" x14ac:dyDescent="0.3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2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2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2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.75" thickBot="1" x14ac:dyDescent="0.3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2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2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.75" thickBot="1" x14ac:dyDescent="0.3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2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2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2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2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.75" thickBot="1" x14ac:dyDescent="0.3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2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2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2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.75" thickBot="1" x14ac:dyDescent="0.3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2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2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2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2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.75" thickBot="1" x14ac:dyDescent="0.3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2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2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2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2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2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2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2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.75" thickBot="1" x14ac:dyDescent="0.3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2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2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2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2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.75" thickBot="1" x14ac:dyDescent="0.3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2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2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2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2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2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2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2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2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2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2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2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2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2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2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2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2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2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2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.75" thickBot="1" x14ac:dyDescent="0.3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2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2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2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.75" thickBot="1" x14ac:dyDescent="0.3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2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2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2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2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2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2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.75" thickBot="1" x14ac:dyDescent="0.3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2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2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.75" thickBot="1" x14ac:dyDescent="0.3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2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2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.75" thickBot="1" x14ac:dyDescent="0.3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2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2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2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2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2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2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2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2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2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2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2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2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2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2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2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2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2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2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2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2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2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2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2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2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2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2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2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2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2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2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2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2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2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2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2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2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2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2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2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2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2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2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2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2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2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2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2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2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2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2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2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2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2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2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2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2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2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2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2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2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2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2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2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2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2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2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2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2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2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2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2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2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2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2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2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2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2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2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2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2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2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2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2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2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.75" thickBot="1" x14ac:dyDescent="0.3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2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2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2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2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.75" thickBot="1" x14ac:dyDescent="0.3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2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2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.75" thickBot="1" x14ac:dyDescent="0.3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2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2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2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.75" thickBot="1" x14ac:dyDescent="0.3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2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2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.75" thickBot="1" x14ac:dyDescent="0.3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2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2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2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2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.75" thickBot="1" x14ac:dyDescent="0.3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2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2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2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2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2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2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2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2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2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2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2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2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2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2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2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2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2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2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2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2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.75" thickBot="1" x14ac:dyDescent="0.3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2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2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2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2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2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2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2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2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2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2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2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2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2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2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2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2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2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2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2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2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2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2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2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2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2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2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2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2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2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.75" thickBot="1" x14ac:dyDescent="0.3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2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2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2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2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2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2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.75" thickBot="1" x14ac:dyDescent="0.3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2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2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.75" thickBot="1" x14ac:dyDescent="0.3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2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2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2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2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2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2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2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2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2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2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2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2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2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2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2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2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2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2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2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2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2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2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2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2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2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2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2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2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2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2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2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2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2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2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2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2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2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2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2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2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2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2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2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2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2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2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2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2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2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2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2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2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2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2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2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2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2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2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2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2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2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2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2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2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2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2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2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.75" thickBot="1" x14ac:dyDescent="0.3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2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2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2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2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2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2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2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2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2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.75" thickBot="1" x14ac:dyDescent="0.3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2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2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2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2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.75" thickBot="1" x14ac:dyDescent="0.3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2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2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.75" thickBot="1" x14ac:dyDescent="0.3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2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2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2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.75" thickBot="1" x14ac:dyDescent="0.3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2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2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2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.75" thickBot="1" x14ac:dyDescent="0.3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2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2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2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2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2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.75" thickBot="1" x14ac:dyDescent="0.3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2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2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2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2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2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.75" thickBot="1" x14ac:dyDescent="0.3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2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2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2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2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2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.75" thickBot="1" x14ac:dyDescent="0.3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2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2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2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.75" thickBot="1" x14ac:dyDescent="0.3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2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2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.75" thickBot="1" x14ac:dyDescent="0.3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2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2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2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.75" thickBot="1" x14ac:dyDescent="0.3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2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2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2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.75" thickBot="1" x14ac:dyDescent="0.3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2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2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2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.75" thickBot="1" x14ac:dyDescent="0.3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2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2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2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.75" thickBot="1" x14ac:dyDescent="0.3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2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2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.75" thickBot="1" x14ac:dyDescent="0.3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2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2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2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2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2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2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2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2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2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2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2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2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2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.75" thickBot="1" x14ac:dyDescent="0.3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2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2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.75" thickBot="1" x14ac:dyDescent="0.3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2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2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2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2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2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2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2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2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2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2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2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2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2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2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.75" thickBot="1" x14ac:dyDescent="0.3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2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2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.75" thickBot="1" x14ac:dyDescent="0.3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2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2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2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2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.75" thickBot="1" x14ac:dyDescent="0.3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2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2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2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2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.75" thickBot="1" x14ac:dyDescent="0.3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2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2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2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2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2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.75" thickBot="1" x14ac:dyDescent="0.3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2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2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.75" thickBot="1" x14ac:dyDescent="0.3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2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2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2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2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2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2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2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2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2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2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2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2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2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2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2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2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2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2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2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.75" thickBot="1" x14ac:dyDescent="0.3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2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2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2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2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2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2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2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2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2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2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.75" thickBot="1" x14ac:dyDescent="0.3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2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2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.75" thickBot="1" x14ac:dyDescent="0.3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2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2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2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2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2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2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2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2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2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2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2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2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2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2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2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2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2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2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2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2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2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2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2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2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2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2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2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2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2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2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2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2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2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2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2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2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2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2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2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.75" thickBot="1" x14ac:dyDescent="0.3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2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2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2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2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.75" thickBot="1" x14ac:dyDescent="0.3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2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2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2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2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2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2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2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2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.75" thickBot="1" x14ac:dyDescent="0.3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2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2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.75" thickBot="1" x14ac:dyDescent="0.3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2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2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2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2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2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2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2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2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2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2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.75" thickBot="1" x14ac:dyDescent="0.3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2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2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.75" thickBot="1" x14ac:dyDescent="0.3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2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2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2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.75" thickBot="1" x14ac:dyDescent="0.3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2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2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2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2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2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2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2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.75" thickBot="1" x14ac:dyDescent="0.3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2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2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2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.75" thickBot="1" x14ac:dyDescent="0.3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2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2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2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.75" thickBot="1" x14ac:dyDescent="0.3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2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2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2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2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2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2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2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2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2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2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2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2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2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2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2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2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2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2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2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2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2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2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2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2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2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2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2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2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2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2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2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2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2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2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2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2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2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2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2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2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2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2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2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2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2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2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2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2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2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2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2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2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2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2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2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2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2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2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2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2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2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2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2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2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2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2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2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2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2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2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2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2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2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2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2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2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2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2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2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2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2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2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2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2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2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2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2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2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2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2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2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2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2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2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2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2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2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2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2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2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2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2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2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2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2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2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2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2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2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2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2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2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2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.75" thickBot="1" x14ac:dyDescent="0.3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2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2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.75" thickBot="1" x14ac:dyDescent="0.3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.75" thickBot="1" x14ac:dyDescent="0.3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.75" thickBot="1" x14ac:dyDescent="0.3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ColWidth="9.140625" defaultRowHeight="15" x14ac:dyDescent="0.25"/>
  <cols>
    <col min="1" max="2" width="3" style="75" customWidth="1"/>
    <col min="3" max="3" width="22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9" width="30.7109375" style="75" customWidth="1"/>
    <col min="10" max="10" width="7.85546875" style="75" bestFit="1" customWidth="1"/>
    <col min="11" max="16384" width="9.140625" style="75"/>
  </cols>
  <sheetData>
    <row r="1" spans="1:12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2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2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2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2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2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2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2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2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2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2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2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2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2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2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2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.75" thickBot="1" x14ac:dyDescent="0.3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2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2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2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2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2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2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2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2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2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2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2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2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2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2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2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2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2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2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2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2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2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2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2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2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2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2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2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2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2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2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2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2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2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2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2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2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2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.75" thickBot="1" x14ac:dyDescent="0.3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2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2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2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2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2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2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2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2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.75" thickBot="1" x14ac:dyDescent="0.3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2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2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2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2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2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2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2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2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2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2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2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2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2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2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2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2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2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2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2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2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2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2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2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2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2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2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2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2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2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.75" thickBot="1" x14ac:dyDescent="0.3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2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2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.75" thickBot="1" x14ac:dyDescent="0.3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2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2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2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2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2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2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2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2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2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.75" thickBot="1" x14ac:dyDescent="0.3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2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2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2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2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2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2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2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2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2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2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2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2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2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2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2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2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2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2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2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2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2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2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2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2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2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2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2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2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2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2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2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2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2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2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2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2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2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2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2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2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.75" thickBot="1" x14ac:dyDescent="0.3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2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2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2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.75" thickBot="1" x14ac:dyDescent="0.3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2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2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2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2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2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2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2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2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2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2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2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2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2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2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2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2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2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2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2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2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2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2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2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2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2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2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2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2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2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2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2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2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2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2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2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2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2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2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2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2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2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2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2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2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2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2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2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2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2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2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2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2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.75" thickBot="1" x14ac:dyDescent="0.3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2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2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.75" thickBot="1" x14ac:dyDescent="0.3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2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2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.75" thickBot="1" x14ac:dyDescent="0.3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2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2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2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2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2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2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2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.75" thickBot="1" x14ac:dyDescent="0.3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2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2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.75" thickBot="1" x14ac:dyDescent="0.3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2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2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2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2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2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2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2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2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2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.75" thickBot="1" x14ac:dyDescent="0.3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2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2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2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.75" thickBot="1" x14ac:dyDescent="0.3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2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2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2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2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.75" thickBot="1" x14ac:dyDescent="0.3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2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2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2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.75" thickBot="1" x14ac:dyDescent="0.3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2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2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2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2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2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2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2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2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2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2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2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2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2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2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.75" thickBot="1" x14ac:dyDescent="0.3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2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2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2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2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2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2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2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2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2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2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.75" thickBot="1" x14ac:dyDescent="0.3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2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2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2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.75" thickBot="1" x14ac:dyDescent="0.3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2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2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2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2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2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2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2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2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2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2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2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2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2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2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2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2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2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.75" thickBot="1" x14ac:dyDescent="0.3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2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2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2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2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.75" thickBot="1" x14ac:dyDescent="0.3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2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2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2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.75" thickBot="1" x14ac:dyDescent="0.3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2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2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2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.75" thickBot="1" x14ac:dyDescent="0.3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.75" thickBot="1" x14ac:dyDescent="0.3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.75" thickBot="1" x14ac:dyDescent="0.3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ColWidth="9.140625" defaultRowHeight="15" x14ac:dyDescent="0.25"/>
  <cols>
    <col min="1" max="2" width="3" style="75" customWidth="1"/>
    <col min="3" max="3" width="17.85546875" style="75" customWidth="1"/>
    <col min="4" max="4" width="2.28515625" style="75" customWidth="1"/>
    <col min="5" max="5" width="11.85546875" style="75" bestFit="1" customWidth="1"/>
    <col min="6" max="6" width="8.7109375" style="75" bestFit="1" customWidth="1"/>
    <col min="7" max="7" width="17.7109375" style="75" bestFit="1" customWidth="1"/>
    <col min="8" max="8" width="17.85546875" style="75" bestFit="1" customWidth="1"/>
    <col min="9" max="9" width="30.7109375" style="75" customWidth="1"/>
    <col min="10" max="10" width="8.4257812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2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2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2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2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2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2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2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2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2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2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2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2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2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2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2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.75" thickBot="1" x14ac:dyDescent="0.3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2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2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.75" thickBot="1" x14ac:dyDescent="0.3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2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2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.75" thickBot="1" x14ac:dyDescent="0.3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2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2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.75" thickBot="1" x14ac:dyDescent="0.3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.75" thickBot="1" x14ac:dyDescent="0.3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.75" thickBot="1" x14ac:dyDescent="0.3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2" thickBot="1" x14ac:dyDescent="0.25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ColWidth="9.140625" defaultRowHeight="15" x14ac:dyDescent="0.25"/>
  <cols>
    <col min="1" max="2" width="3" style="75" customWidth="1"/>
    <col min="3" max="3" width="29.85546875" style="75" customWidth="1"/>
    <col min="4" max="4" width="2.28515625" style="75" customWidth="1"/>
    <col min="5" max="5" width="14.28515625" style="75" bestFit="1" customWidth="1"/>
    <col min="6" max="6" width="8.7109375" style="75" bestFit="1" customWidth="1"/>
    <col min="7" max="7" width="18.140625" style="75" bestFit="1" customWidth="1"/>
    <col min="8" max="8" width="30.5703125" style="75" bestFit="1" customWidth="1"/>
    <col min="9" max="9" width="30.7109375" style="75" customWidth="1"/>
    <col min="10" max="10" width="8.7109375" style="75" bestFit="1" customWidth="1"/>
    <col min="11" max="16384" width="9.140625" style="75"/>
  </cols>
  <sheetData>
    <row r="1" spans="1:11" s="3" customFormat="1" ht="15.75" thickBot="1" x14ac:dyDescent="0.3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.75" thickTop="1" x14ac:dyDescent="0.2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2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.75" thickBot="1" x14ac:dyDescent="0.3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2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2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2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2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2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2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2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2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.75" thickBot="1" x14ac:dyDescent="0.3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2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2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2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2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2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2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2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.75" thickBot="1" x14ac:dyDescent="0.3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2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2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2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.75" thickBot="1" x14ac:dyDescent="0.3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2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2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2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.75" thickBot="1" x14ac:dyDescent="0.3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2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2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2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2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2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2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2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2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.75" thickBot="1" x14ac:dyDescent="0.3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2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2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2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2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2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2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2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2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2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2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2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2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2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2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2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2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2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2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2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.75" thickBot="1" x14ac:dyDescent="0.3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2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2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2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.75" thickBot="1" x14ac:dyDescent="0.3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2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2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2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2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2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.75" thickBot="1" x14ac:dyDescent="0.3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2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2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2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2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2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.75" thickBot="1" x14ac:dyDescent="0.3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2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2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2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2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2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2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2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.75" thickBot="1" x14ac:dyDescent="0.3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2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2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.75" thickBot="1" x14ac:dyDescent="0.3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2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2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2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2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2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2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2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2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2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2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2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2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2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2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2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2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2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2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2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2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2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2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2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2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2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2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2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2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2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2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2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2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2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2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2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.75" thickBot="1" x14ac:dyDescent="0.3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2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2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2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.75" thickBot="1" x14ac:dyDescent="0.3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2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2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2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2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2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2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2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2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2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2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2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2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2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2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2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2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2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2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2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2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2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2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2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2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2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2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2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2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2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2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2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2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2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2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2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2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2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2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2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2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2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2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2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2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2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2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2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2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2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2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2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2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2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2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2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2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2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2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2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2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2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2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2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2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2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2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2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2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2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2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2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2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2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2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2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2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2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2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2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2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2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2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2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2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2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2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2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2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2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2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2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2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2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2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2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2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2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2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2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2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2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2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2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2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2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.75" thickBot="1" x14ac:dyDescent="0.3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2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2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2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2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2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2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2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2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2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2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2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2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2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2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2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2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2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2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2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2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2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2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2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2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2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2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2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2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2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2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2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2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2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2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2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2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2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2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2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2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2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2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2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2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2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2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2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2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2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2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2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2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2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2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2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2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2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2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2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2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2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2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2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2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2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2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2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2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2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2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2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2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2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2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2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2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2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2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2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2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2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2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2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2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2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2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2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2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2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2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2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2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2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2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2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2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2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2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2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2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2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2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2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2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2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2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2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2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2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2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2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2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2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2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2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2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2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2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2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2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2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2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2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2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2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2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2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2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2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2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2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2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2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2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2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2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2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2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2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2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2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2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2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2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2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2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2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2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2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2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2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2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2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2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2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2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2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2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2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2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2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2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2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2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2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2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2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2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2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2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2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2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2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2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2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2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2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2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2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2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2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2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2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2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2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2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2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2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2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2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2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2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2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2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2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2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2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2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2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2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2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2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2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2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2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2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2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2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2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2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2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2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2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2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2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2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2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2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2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2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2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2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2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2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2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2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2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2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2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2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2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2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2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2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2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2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2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2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2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2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2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2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2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2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2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2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2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2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2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2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2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2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.75" thickBot="1" x14ac:dyDescent="0.3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2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2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2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2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2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2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2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2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2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2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2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2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2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2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2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2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2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2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2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2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2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2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2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.75" thickBot="1" x14ac:dyDescent="0.3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2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2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2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2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2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.75" thickBot="1" x14ac:dyDescent="0.3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2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2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2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2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2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2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2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2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2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2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2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2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2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2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2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2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2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2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2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2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2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2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2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2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2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2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2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2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2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2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2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2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2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2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2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2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2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2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2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2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2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2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2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2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2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2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2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.75" thickBot="1" x14ac:dyDescent="0.3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2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2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2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2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2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2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2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2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2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2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2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2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2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2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2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2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2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2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2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2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2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2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2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2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2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2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2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2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2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2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2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2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2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2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2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2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2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2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2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2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.75" thickBot="1" x14ac:dyDescent="0.3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2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2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2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2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2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2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2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2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2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.75" thickBot="1" x14ac:dyDescent="0.3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2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2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2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2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2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2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2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2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2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2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2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2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2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2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2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2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2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2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2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2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2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2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2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2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2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2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2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2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2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2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2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2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2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2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2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2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2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2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2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2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2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2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2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2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2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2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2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2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2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2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2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2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2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2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2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2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2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2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2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2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2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2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2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2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2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2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2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2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2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2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2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2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2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2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2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2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2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2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2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2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2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2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2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2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2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2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2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2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2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2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2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2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2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2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2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2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2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2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2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2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2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2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2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2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2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2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2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2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2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2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2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2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2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2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2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2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2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2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2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2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2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2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2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2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2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2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2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2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2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2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2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2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2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2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2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2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2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2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2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2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2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2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2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2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2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2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2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2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2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2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2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2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2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2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2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2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2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2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2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2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2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2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2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2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2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2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2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2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2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2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2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2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2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2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2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2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2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2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2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2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2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2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2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2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2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2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2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2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2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2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2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2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2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2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2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2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2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2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2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2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2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2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2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2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2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2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2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2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2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2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2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2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2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2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2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2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2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2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2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2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2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2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2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2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2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2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2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2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2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2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2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2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2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2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2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2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2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2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2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2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2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2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2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2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2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2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2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2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2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.75" thickBot="1" x14ac:dyDescent="0.3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2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2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2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2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2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2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2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2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2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2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2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2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2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2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2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2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2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2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2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2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2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2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2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2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2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2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2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2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2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.75" thickBot="1" x14ac:dyDescent="0.3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2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2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2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2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2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2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2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2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2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2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2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2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2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2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2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2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2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2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2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2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2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2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2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2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2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2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2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2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2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2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2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2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2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2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2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2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2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2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2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2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2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2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2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2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2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2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2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2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2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2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2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2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2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2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2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2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2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2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2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2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2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2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2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2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2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2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2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2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2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2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2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2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2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2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2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2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2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2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2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2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2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.75" thickBot="1" x14ac:dyDescent="0.3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2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2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2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2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.75" thickBot="1" x14ac:dyDescent="0.3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2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2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2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2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2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2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2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2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.75" thickBot="1" x14ac:dyDescent="0.3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2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2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2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2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2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2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2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2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2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2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2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2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2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2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2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2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2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2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2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2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2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2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2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2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2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2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2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2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2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2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2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2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2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.75" thickBot="1" x14ac:dyDescent="0.3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2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2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2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2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2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2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2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2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2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2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.75" thickBot="1" x14ac:dyDescent="0.3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2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2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2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2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2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2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2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2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2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2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2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.75" thickBot="1" x14ac:dyDescent="0.3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2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2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2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2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.75" thickBot="1" x14ac:dyDescent="0.3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2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2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2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2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2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2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2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2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2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2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2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2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2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2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2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2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2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2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2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2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.75" thickBot="1" x14ac:dyDescent="0.3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2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2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2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2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2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2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2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2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2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2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2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2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2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2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2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2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2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2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2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2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2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2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2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2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2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2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2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2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2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2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2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2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2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2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2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2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2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2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2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2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2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2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2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2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2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2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2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2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2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2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2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2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2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2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2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2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2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2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2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2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2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2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2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2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2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2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2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2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2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2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2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2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2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2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2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2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2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2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2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2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2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2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2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2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2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2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2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2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2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2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2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2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2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2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2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2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2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2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2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2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2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2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2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2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2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2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2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2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2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2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2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2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2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2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2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2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2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2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2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2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2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2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2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2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2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2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2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2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2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2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2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2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2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2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2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2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2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2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2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2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2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2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2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2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2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2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2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2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2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2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2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2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2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2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2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2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2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2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2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2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2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2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2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2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2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2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2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2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2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2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2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2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2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2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2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2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2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2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2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2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2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2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2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2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2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2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2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2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2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2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2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2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2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2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2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2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2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2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2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2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2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2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2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2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2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2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.75" thickBot="1" x14ac:dyDescent="0.3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2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2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2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2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2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2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2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2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2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2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2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2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2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2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2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2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2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2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2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2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2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2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2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2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2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2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2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2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2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2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2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2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2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2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2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2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2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2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2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2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2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2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2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2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2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2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2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.75" thickBot="1" x14ac:dyDescent="0.3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2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2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2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2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2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2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2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2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2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2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2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2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.75" thickBot="1" x14ac:dyDescent="0.3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2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2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2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.75" thickBot="1" x14ac:dyDescent="0.3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2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2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2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2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2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2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2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2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2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2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2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2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2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2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2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2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2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2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2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2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2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2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2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2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2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2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2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.75" thickBot="1" x14ac:dyDescent="0.3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2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2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2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2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2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2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2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2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2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2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2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2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2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2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2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2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2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2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2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2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.75" thickBot="1" x14ac:dyDescent="0.3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2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2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2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2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2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2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2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2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2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2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2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2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2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2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2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2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2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2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2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2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2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2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2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2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2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2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2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2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2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2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2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2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2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.75" thickBot="1" x14ac:dyDescent="0.3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2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2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2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2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2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2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2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2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2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2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2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2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2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2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2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2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2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2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2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2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2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2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2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2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2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2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2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2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2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2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2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2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2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2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2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2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2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2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2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2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2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2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2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2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2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2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2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.75" thickBot="1" x14ac:dyDescent="0.3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2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2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2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2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.75" thickBot="1" x14ac:dyDescent="0.3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2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2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2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2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2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2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2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.75" thickBot="1" x14ac:dyDescent="0.3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2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2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2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.75" thickBot="1" x14ac:dyDescent="0.3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2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2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2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.75" thickBot="1" x14ac:dyDescent="0.3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2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2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2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2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2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2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2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2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2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2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2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2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.75" thickBot="1" x14ac:dyDescent="0.3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2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2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.75" thickBot="1" x14ac:dyDescent="0.3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2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2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2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2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2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2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2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2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2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2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2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2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2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2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2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2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2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2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2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2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2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2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2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2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2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2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2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2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2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2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2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2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2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2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.75" thickBot="1" x14ac:dyDescent="0.3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2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2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2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2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2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2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2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.75" thickBot="1" x14ac:dyDescent="0.3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2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2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2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2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2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2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2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2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2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2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2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2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2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2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2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2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2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2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2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2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2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.75" thickBot="1" x14ac:dyDescent="0.3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2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2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2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2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2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2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2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2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.75" thickBot="1" x14ac:dyDescent="0.3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2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2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2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2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2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2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2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2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2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2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2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2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.75" thickBot="1" x14ac:dyDescent="0.3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2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2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2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2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2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2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.75" thickBot="1" x14ac:dyDescent="0.3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2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2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2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2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2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2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.75" thickBot="1" x14ac:dyDescent="0.3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2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2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2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2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2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2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2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2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2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2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2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2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2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2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2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2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2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2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2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2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2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2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2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2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2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2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2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2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2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2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2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2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2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2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2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2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2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2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2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2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2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2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2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2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2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2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2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.75" thickBot="1" x14ac:dyDescent="0.3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2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2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2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2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2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2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2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2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2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.75" thickBot="1" x14ac:dyDescent="0.3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2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2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2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2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2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2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2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2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2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2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2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2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2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2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2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2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2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2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2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2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2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2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2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2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2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2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2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2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2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2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2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2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2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2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2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2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2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2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2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2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2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2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2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2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2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2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2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2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2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2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2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2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2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2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2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2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2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2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2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2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2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2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2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2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2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2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2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2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2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2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.75" thickBot="1" x14ac:dyDescent="0.3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2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2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2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2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2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2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2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2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2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2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2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2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2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2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2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2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2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2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2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2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2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2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2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2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2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2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2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2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2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.75" thickBot="1" x14ac:dyDescent="0.3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2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2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2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2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2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2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2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2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2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2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2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2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2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2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2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2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2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2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2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2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2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2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2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2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2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2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2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2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2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2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2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2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2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2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2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.75" thickBot="1" x14ac:dyDescent="0.3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2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2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2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2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2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2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2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2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2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2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2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2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2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2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2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2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2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2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2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2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2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2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2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2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2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2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2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2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2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2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2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2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2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2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2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2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2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.75" thickBot="1" x14ac:dyDescent="0.3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2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2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2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2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2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2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2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2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2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2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2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2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2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2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2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2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2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2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2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2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2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2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2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2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2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2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2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2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2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2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2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2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2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2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2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2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2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2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2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2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2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.75" thickBot="1" x14ac:dyDescent="0.3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2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2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2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2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2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2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2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2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2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2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2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2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2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2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2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2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2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2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2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2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2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2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2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2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2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2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2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2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.75" thickBot="1" x14ac:dyDescent="0.3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2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2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2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2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.75" thickBot="1" x14ac:dyDescent="0.3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2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2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2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.75" thickBot="1" x14ac:dyDescent="0.3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2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2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2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2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2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2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2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.75" thickBot="1" x14ac:dyDescent="0.3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2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2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2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2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2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2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2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2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2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2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.75" thickBot="1" x14ac:dyDescent="0.3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2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2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2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2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2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2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2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2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2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2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2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2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2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2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2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2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2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2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2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2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2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2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2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2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2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2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2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2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2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2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2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2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2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2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2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2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2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2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2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2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2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2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2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2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2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2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2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2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2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2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2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2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2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2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2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2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2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2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2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2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2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2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2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2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2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2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2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.75" thickBot="1" x14ac:dyDescent="0.3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2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2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.75" thickBot="1" x14ac:dyDescent="0.3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2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2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2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2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2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2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2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.75" thickBot="1" x14ac:dyDescent="0.3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2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2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2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2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2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2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2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2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2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2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2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2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2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2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2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2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2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2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2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2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2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2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2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2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2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2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2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2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2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2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2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2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2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2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2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2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2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2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2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2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.75" thickBot="1" x14ac:dyDescent="0.3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2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2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2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2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2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2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2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2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2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2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.75" thickBot="1" x14ac:dyDescent="0.3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2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2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2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2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2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2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2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2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.75" thickBot="1" x14ac:dyDescent="0.3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2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2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.75" thickBot="1" x14ac:dyDescent="0.3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2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2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2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2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2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2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.75" thickBot="1" x14ac:dyDescent="0.3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2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2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2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2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2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2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2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.75" thickBot="1" x14ac:dyDescent="0.3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2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2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2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2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2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2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2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2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2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2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2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2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2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2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2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2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.75" thickBot="1" x14ac:dyDescent="0.3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2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2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2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2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2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2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2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2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.75" thickBot="1" x14ac:dyDescent="0.3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2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2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2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2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2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2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.75" thickBot="1" x14ac:dyDescent="0.3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2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2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2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2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2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2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2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2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2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2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2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2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2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2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2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2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2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2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2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2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2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2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2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2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2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2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2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2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2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2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2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2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2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2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2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2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2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2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2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2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2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2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2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2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2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2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2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2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2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2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2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2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2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2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2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2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2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2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2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2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2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2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2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2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2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2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2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2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2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2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2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2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2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2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2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2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2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2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2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2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2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2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2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2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2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2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2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.75" thickBot="1" x14ac:dyDescent="0.3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2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2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2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.75" thickBot="1" x14ac:dyDescent="0.3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2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2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2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2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.75" thickBot="1" x14ac:dyDescent="0.3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2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2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2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2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2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2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2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2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2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2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2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2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2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2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2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2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2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2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2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2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.75" thickBot="1" x14ac:dyDescent="0.3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2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2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2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2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2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2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2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2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2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2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2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2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2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2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2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2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2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.75" thickBot="1" x14ac:dyDescent="0.3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2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2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2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2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2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2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2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2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2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2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2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2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2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2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2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2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2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2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2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2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2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2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2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2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2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2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2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2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2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2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2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2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2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2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2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2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2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2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2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2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2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2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2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2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2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2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2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2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2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2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2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2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2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2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2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2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2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2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2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2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2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2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2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2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2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2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2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2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2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2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2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2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2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2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2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2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2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2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2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2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2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2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2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2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2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2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2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2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2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2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2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2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2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2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2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2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2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2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2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2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2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2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2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2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2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2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2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2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2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2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2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2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2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2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2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2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2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2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2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2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2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2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2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2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2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2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2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2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2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2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2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2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2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2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2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2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2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2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2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2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2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2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2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.75" thickBot="1" x14ac:dyDescent="0.3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2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2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2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2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2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2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2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2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2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2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2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2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.75" thickBot="1" x14ac:dyDescent="0.3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2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2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2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2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2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2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2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2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2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2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2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2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2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2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2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2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2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2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2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2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2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.75" thickBot="1" x14ac:dyDescent="0.3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2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2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2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2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.75" thickBot="1" x14ac:dyDescent="0.3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2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2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2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2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2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.75" thickBot="1" x14ac:dyDescent="0.3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2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2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2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2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2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.75" thickBot="1" x14ac:dyDescent="0.3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2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2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2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2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2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2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.75" thickBot="1" x14ac:dyDescent="0.3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2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2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2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2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2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2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2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2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2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2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2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2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2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2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2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2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2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2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2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2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2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2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2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2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2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2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2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2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2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2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2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2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2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2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2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2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2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2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2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2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2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2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2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2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2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2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2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2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2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2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2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2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2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2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2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2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2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2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2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2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2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2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2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2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2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2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2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2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2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2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2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2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2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2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2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2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2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2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2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2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2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2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2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2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2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2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2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2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2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2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2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2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2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2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2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2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2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.75" thickBot="1" x14ac:dyDescent="0.3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2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2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.75" thickBot="1" x14ac:dyDescent="0.3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2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2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2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2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2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2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2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2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.75" thickBot="1" x14ac:dyDescent="0.3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2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2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2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2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2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2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2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.75" thickBot="1" x14ac:dyDescent="0.3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2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2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2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2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2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2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2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2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2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2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2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2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2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2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2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2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2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2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2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2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2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2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2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2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2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2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.75" thickBot="1" x14ac:dyDescent="0.3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2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2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2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2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.75" thickBot="1" x14ac:dyDescent="0.3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2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2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2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2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2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2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2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2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2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.75" thickBot="1" x14ac:dyDescent="0.3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2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2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2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2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.75" thickBot="1" x14ac:dyDescent="0.3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2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2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2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2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2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.75" thickBot="1" x14ac:dyDescent="0.3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2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2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2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2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2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2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2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2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2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2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2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2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2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2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2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2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2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2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2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2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2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2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2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2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2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2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2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2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2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2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2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2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2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2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2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2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2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2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2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2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2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2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2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2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2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2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2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2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2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2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2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2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2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2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2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2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2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2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2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2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2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2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2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2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2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2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2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2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2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2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2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2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2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2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2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2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.75" thickBot="1" x14ac:dyDescent="0.3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2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2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2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2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2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2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2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2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.75" thickBot="1" x14ac:dyDescent="0.3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2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2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2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.75" thickBot="1" x14ac:dyDescent="0.3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2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2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2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2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2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2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2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2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2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2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2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2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2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2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2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2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2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2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2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2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2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2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2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2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2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2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2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2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2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.75" thickBot="1" x14ac:dyDescent="0.3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2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2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2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2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2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2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2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2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2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2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2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2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2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2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2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2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2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2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2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2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2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2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2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2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2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2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2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2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2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2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2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2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2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2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2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2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2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2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2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2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2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2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2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2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2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2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2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2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2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2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2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2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2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2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2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2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2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2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2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2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2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2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2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2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2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2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2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2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2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2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2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2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2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2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2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2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2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2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2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2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2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2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2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2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2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2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2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2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2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2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2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2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2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2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2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2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2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2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2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2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2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2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2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2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2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2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2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2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2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2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2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2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2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2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2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2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2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2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2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2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2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2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2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2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2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2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2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2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2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2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2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2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2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2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2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2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2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2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2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2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2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2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2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2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2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.75" thickBot="1" x14ac:dyDescent="0.3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2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2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2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2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2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2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2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2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2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2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2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2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2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2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.75" thickBot="1" x14ac:dyDescent="0.3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2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2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2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2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.75" thickBot="1" x14ac:dyDescent="0.3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2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2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2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2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2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2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2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2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2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2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2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2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2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2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2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2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2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2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2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2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2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2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2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2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2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2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2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2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2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2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2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2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2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2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.75" thickBot="1" x14ac:dyDescent="0.3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2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2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2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2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2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2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2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2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2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2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2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2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2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2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2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2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2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2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2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2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2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2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2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2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2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2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2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2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2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2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2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2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2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2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2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.75" thickBot="1" x14ac:dyDescent="0.3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2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2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2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2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2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2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2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.75" thickBot="1" x14ac:dyDescent="0.3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2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2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2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2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2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2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2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2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2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.75" thickBot="1" x14ac:dyDescent="0.3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2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2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2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2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.75" thickBot="1" x14ac:dyDescent="0.3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2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2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2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2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.75" thickBot="1" x14ac:dyDescent="0.3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2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2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.75" thickBot="1" x14ac:dyDescent="0.3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2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2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2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2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2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2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2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2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2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2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2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2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2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2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2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2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2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2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2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.75" thickBot="1" x14ac:dyDescent="0.3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2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2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2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2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2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2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.75" thickBot="1" x14ac:dyDescent="0.3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2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2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2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2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2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2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2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2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2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2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2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2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2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2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2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2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2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2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2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2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2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2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2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2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2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2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2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.75" thickBot="1" x14ac:dyDescent="0.3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2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2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.75" thickBot="1" x14ac:dyDescent="0.3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2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2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2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.75" thickBot="1" x14ac:dyDescent="0.3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2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2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2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2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.75" thickBot="1" x14ac:dyDescent="0.3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2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2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2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2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2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2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2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2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2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2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2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2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2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2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2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2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2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2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2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2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2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2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2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.75" thickBot="1" x14ac:dyDescent="0.3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2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2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2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2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2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2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2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2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2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2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2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2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2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2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2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2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2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2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2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2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2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2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2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2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2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2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2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2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2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2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2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2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2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2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2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2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2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2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2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2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2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2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2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2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2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2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2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2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2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2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2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2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2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2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2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2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2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2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2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2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2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2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2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2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2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2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2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2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2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2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2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2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2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2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2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2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2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2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.75" thickBot="1" x14ac:dyDescent="0.3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2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2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2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2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2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.75" thickBot="1" x14ac:dyDescent="0.3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2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2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.75" thickBot="1" x14ac:dyDescent="0.3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2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2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2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2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2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2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.75" thickBot="1" x14ac:dyDescent="0.3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2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2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2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2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2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2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2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2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2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2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2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2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2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2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2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2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2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2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2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2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2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.75" thickBot="1" x14ac:dyDescent="0.3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2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2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2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2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2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2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2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.75" thickBot="1" x14ac:dyDescent="0.3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2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2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2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2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2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2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2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2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2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2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2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.75" thickBot="1" x14ac:dyDescent="0.3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2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2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2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2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2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2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2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2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2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2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2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2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2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2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2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2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2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2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2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2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2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2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2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2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2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2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2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2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2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2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2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2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2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2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2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2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2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2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2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2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2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2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2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2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2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2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2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2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2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.75" thickBot="1" x14ac:dyDescent="0.3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2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2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2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2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2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2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2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2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2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.75" thickBot="1" x14ac:dyDescent="0.3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2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2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2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2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2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2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2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2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2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2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2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2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2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2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2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2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2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2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2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2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2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2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2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2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.75" thickBot="1" x14ac:dyDescent="0.3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2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2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.75" thickBot="1" x14ac:dyDescent="0.3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2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2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2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2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2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.75" thickBot="1" x14ac:dyDescent="0.3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2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2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2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2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2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2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2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2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2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2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2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2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2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2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2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2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2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2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2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2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.75" thickBot="1" x14ac:dyDescent="0.3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2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2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2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.75" thickBot="1" x14ac:dyDescent="0.3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2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2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2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2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2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2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2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2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2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2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2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2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2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2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2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2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2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2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2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2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2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2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2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2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2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2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2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2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2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2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2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2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2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2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2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2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2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2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2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2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2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2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2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2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2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2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2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2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2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2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2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2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2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2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2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2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2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2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2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2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2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2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2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2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2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2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2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2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2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2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2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2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2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2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2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2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2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.75" thickBot="1" x14ac:dyDescent="0.3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2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2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2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2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2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2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2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2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2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2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2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2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2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2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2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2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2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2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2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2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2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2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2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2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2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2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2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2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2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2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2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2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2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2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2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2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2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2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2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2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2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2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2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2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2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2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2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2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.75" thickBot="1" x14ac:dyDescent="0.3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2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2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2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2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2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2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2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2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.75" thickBot="1" x14ac:dyDescent="0.3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2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2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2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2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2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.75" thickBot="1" x14ac:dyDescent="0.3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2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2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2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2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.75" thickBot="1" x14ac:dyDescent="0.3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2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2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2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2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2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2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2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2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2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2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2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2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2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2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2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2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2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2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2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2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2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2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2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2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2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2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2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2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2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2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2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2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2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2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2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2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2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2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2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2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2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2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2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2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2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2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2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2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2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2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2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2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2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2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2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2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2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2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2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2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2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2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2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2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2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2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2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2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2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2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2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2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2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2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2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2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2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2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2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2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2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2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2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2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2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2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2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2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2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2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2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2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2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2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2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2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2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2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2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2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2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2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2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2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2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2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2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2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2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2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2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2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2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2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2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2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.75" thickBot="1" x14ac:dyDescent="0.3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2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2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.75" thickBot="1" x14ac:dyDescent="0.3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2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2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2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2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.75" thickBot="1" x14ac:dyDescent="0.3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2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2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2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.75" thickBot="1" x14ac:dyDescent="0.3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2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2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2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2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2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2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2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2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2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.75" thickBot="1" x14ac:dyDescent="0.3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2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2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2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2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2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2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2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2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2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2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2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2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2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2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2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2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2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2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2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2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2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2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2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2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2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2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2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2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2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2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2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2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2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2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2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2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2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2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2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2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2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2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2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.75" thickBot="1" x14ac:dyDescent="0.3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2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2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2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.75" thickBot="1" x14ac:dyDescent="0.3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2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2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2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2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.75" thickBot="1" x14ac:dyDescent="0.3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2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2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2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2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2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2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2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2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2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2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2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.75" thickBot="1" x14ac:dyDescent="0.3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2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2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2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.75" thickBot="1" x14ac:dyDescent="0.3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2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2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2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2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2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2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.75" thickBot="1" x14ac:dyDescent="0.3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2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2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2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2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2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2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2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2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2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2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.75" thickBot="1" x14ac:dyDescent="0.3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2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2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2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2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.75" thickBot="1" x14ac:dyDescent="0.3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2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2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.75" thickBot="1" x14ac:dyDescent="0.3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2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2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2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2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2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2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2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2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.75" thickBot="1" x14ac:dyDescent="0.3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2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2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2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2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2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.75" thickBot="1" x14ac:dyDescent="0.3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2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2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2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2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2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2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2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.75" thickBot="1" x14ac:dyDescent="0.3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2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2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2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.75" thickBot="1" x14ac:dyDescent="0.3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2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2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2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2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2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2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2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2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2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2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2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2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2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2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2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2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2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.75" thickBot="1" x14ac:dyDescent="0.3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2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2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2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2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2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2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2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2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.75" thickBot="1" x14ac:dyDescent="0.3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2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2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.75" thickBot="1" x14ac:dyDescent="0.3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2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2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2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2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2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2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2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2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2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2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2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2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2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2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2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2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2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2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2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2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2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2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.75" thickBot="1" x14ac:dyDescent="0.3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2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2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2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2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2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2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2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2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2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2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2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2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.75" thickBot="1" x14ac:dyDescent="0.3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2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2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2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2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2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2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2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2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2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2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2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2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2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2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2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2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2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2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2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2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2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2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2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2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2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2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2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2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2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2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2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2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2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2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2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2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2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2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2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2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2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2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2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2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2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2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2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2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2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2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2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2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2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2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2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2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2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2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2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2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2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2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2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2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2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2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2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2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2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2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2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2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2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2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2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2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2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2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2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2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2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2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2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2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2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2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2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2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2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2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2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2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2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2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2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2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2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2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2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2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2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2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2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2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2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2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2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2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2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2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2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2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2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2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2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2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2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2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2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2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2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2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2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2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2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2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2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2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2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2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2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2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2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2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2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2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2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2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2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2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2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2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2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2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2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2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2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2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2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2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2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2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2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2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2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2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2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2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2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2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2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2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2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2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2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2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2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2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2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2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2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2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.75" thickBot="1" x14ac:dyDescent="0.3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2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2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2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2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2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2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2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2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2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2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2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2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2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2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2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2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2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2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2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2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2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2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2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2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2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2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2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2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2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2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2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2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2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2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2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2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2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2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2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2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2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2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2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2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2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2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2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2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2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2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2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2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2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2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2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2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2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2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2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2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2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2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2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2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2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.75" thickBot="1" x14ac:dyDescent="0.3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2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2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2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2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2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2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2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2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2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2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2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2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2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2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2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2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2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2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2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2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2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2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2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2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2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2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2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2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2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2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2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2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2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2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2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2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2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2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2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2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2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2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2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2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2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2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2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2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2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2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2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2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2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2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2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2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2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2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2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2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2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2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2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2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2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2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2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2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2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2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2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2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2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2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2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2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2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2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2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2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2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2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2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2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2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2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2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2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2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2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2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2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2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2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2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2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2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2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2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2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2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2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2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2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2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2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2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2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2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2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2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2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2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2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2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2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2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2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2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2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2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2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2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2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2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2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2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2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2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2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2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2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2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2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2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2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2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2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2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2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2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2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2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2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2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2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2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2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2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2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2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2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2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2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2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2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2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2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2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2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2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2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2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2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2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2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2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2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2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2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2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2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2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2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2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2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2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2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2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2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2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2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2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2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2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2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2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2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2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2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2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2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2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2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2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2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2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2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2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2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2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2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2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2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2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2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2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2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2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2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2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2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2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2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2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2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2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2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2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2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2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2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2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2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2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2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2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2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2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2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2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2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2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2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2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2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2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2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2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2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2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2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2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2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2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2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2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2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2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2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2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2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2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2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2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2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2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2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2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2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2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2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2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2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2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2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2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2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2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2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2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2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2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2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2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2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2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2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2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2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2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2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2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2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2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2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2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2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2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2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2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2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2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2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2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2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2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2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2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2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2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2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2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2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2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2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2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2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2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2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2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2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2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2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2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2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2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2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2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2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2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2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2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2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2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2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2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2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2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2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2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2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2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2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2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2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2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2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2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2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2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2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2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2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2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2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2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2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2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2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2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2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2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2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2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2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2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2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2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2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2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2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2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2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2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2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2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2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2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2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2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2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2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2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2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2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2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2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2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2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2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2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2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2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2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2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2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2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2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2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2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2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2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2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2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2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.75" thickBot="1" x14ac:dyDescent="0.3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2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2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2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2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2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2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2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2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2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2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2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2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2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2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2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2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2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2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2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.75" thickBot="1" x14ac:dyDescent="0.3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2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2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.75" thickBot="1" x14ac:dyDescent="0.3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2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2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2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2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2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2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2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2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2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2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2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2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2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2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2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2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2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.75" thickBot="1" x14ac:dyDescent="0.3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2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2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.75" thickBot="1" x14ac:dyDescent="0.3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2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2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2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.75" thickBot="1" x14ac:dyDescent="0.3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2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2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2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2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2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2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2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2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2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.75" thickBot="1" x14ac:dyDescent="0.3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2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2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2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2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2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2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2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.75" thickBot="1" x14ac:dyDescent="0.3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2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2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2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2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2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2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2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2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2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2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2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2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2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.75" thickBot="1" x14ac:dyDescent="0.3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2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2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2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2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2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2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2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2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2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2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2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2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2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2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2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2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2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2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2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2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2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2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2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2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2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2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2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2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2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2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2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2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2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2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2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2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2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2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2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2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2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2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2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2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2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2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2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2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2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2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2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2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2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2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2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2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2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2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2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.75" thickBot="1" x14ac:dyDescent="0.3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2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2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2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2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2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2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2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2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2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2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2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2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2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2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2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2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2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2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2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2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2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2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2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2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2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2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2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2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2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.75" thickBot="1" x14ac:dyDescent="0.3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2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2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2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2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2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2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2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2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2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.75" thickBot="1" x14ac:dyDescent="0.3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2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2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.75" thickBot="1" x14ac:dyDescent="0.3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2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2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2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.75" thickBot="1" x14ac:dyDescent="0.3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2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2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2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2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2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2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2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2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2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2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2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2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2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2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2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2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2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2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2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2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2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2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2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2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2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2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2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2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2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2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2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2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2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2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2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2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2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2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2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2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2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2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2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2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2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2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2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2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2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2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2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2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2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2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2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2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2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2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2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.75" thickBot="1" x14ac:dyDescent="0.3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2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2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2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2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2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2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.75" thickBot="1" x14ac:dyDescent="0.3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2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2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2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2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2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2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2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2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2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2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2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2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2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2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2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2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.75" thickBot="1" x14ac:dyDescent="0.3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2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2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2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2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2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2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2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2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2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2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2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2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2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.75" thickBot="1" x14ac:dyDescent="0.3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2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2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2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2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2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.75" thickBot="1" x14ac:dyDescent="0.3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2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2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2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2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2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2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2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2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2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2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2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2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2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2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2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2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2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2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2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2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2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2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2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2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2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2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2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2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.75" thickBot="1" x14ac:dyDescent="0.3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2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2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2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2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2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2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2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2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2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2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2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2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2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2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2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2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2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2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2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2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2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2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2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2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2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2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2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2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2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2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2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2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2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2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2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2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2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2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2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2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2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2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2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2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2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2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2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2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2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2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2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2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2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2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2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2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2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2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2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2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2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2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2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2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2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2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2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2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2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2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2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2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2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2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2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2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2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2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2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2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2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2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2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2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2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2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2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2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2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2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2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2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2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2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2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2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2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2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2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2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2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2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2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2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2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2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2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2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2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2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2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2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2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2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2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2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2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2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2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2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2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2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2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2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2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2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2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2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2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2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2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2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2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2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2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2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2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2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2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2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2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2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2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2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2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2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2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2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2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2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2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2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2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2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2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2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2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2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2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2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2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2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.75" thickBot="1" x14ac:dyDescent="0.3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2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2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.75" thickBot="1" x14ac:dyDescent="0.3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2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2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2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2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2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2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2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2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2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2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2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2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2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2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2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2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2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2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2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2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2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2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2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2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2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2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2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2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2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2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2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2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2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2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2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2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2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2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2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2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2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2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2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2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2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2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2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2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2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2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2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2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2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2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2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2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2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2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2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2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2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2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2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2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2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2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2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2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2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2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2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2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2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2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2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2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2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2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2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2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2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2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2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2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2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2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2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.75" thickBot="1" x14ac:dyDescent="0.3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2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2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2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2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2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2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2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2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2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2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.75" thickBot="1" x14ac:dyDescent="0.3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2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2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2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2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2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2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2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2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2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2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2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.75" thickBot="1" x14ac:dyDescent="0.3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2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2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2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2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2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2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2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2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2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.75" thickBot="1" x14ac:dyDescent="0.3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2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2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2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2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2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2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2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2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2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2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2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2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2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.75" thickBot="1" x14ac:dyDescent="0.3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2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2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2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2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2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2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2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2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2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2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.75" thickBot="1" x14ac:dyDescent="0.3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2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2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2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.75" thickBot="1" x14ac:dyDescent="0.3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2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2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2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2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2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2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2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2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2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2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2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2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2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2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2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2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2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2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2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2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2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2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.75" thickBot="1" x14ac:dyDescent="0.3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2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2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2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2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.75" thickBot="1" x14ac:dyDescent="0.3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2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2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.75" thickBot="1" x14ac:dyDescent="0.3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2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2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2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2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2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2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2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2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2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2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2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2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2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2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2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2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2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2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2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2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2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2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2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2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2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2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2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2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2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2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2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2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2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2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2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2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2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2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2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2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2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2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2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2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2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2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2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2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2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2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2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2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2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2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2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2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2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2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2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2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2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2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2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2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2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2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2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2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2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2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2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2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2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2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2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2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2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2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2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2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2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2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2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2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2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2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2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2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2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2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2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2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2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2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2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2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2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2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2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2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2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2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2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.75" thickBot="1" x14ac:dyDescent="0.3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2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2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2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2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2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2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2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2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2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2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2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2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2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2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2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2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2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2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2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2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2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2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2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2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2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2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2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2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2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2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2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2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2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2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2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2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2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2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2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2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2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2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2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2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2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2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2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2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2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2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2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2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2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2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2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2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2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2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2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2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2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2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2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2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2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2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2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2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2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2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2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2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2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2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2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2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2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2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2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2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2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2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2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2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2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2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2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2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2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2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2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2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2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2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2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2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2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2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2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2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2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2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2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2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2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2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2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2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2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2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2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2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2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2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2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2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2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2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2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2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2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2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2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2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2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2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2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2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2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2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2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2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2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2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2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2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2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2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2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2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2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2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2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2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2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2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2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2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2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2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2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2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2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2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2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2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2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2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2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2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2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2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2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2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2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2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2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2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2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2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2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2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2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2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2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2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2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2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2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2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2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2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2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2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2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2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2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2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2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2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2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2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2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2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2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2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2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2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2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2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2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2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2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2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2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2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2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2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2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2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2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2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2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2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2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2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2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2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2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2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2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2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2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2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2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2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2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2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2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2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2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2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2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2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2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2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2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2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2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2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2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2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2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2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2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2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2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2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2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2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2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2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2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2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2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2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2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2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2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2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2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2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2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2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2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2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2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2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2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2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2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2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2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2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2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2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2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2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2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2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2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2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2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2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2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2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2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2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2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2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2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2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2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2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2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2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2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2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2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2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2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2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2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2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2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2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2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2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2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2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2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2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2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2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2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2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2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2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2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2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2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2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2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2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2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2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2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2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2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2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2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2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2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2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2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2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2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2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2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2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2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2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2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2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2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2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2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2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2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2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2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2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2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2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2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2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2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2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2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2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2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2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2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2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2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2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2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2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2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2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2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2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2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2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2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2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2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2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2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2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2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2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2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2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2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2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2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2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2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2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2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2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2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2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2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2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2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2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2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2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2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2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2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2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2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2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2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2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2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2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2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2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2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2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2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2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2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2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2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2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2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2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2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2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2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2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2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2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2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2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2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2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2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2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2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2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2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2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2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2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2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2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2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2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2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2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2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2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2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2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2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2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2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2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2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2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2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2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2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2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2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2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2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2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2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2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2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2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2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2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2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2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2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2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2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2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2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2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2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2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2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2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2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2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2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2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2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2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2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2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2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2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2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2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2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2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2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2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2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2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2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2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2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2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2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2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2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2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2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2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2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2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2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2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2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2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2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2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2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2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2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2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2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2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2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2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2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2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2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2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2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2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2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2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2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2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2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2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2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2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2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2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2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2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2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2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2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2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2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2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2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2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2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2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2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2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2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2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2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2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2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2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2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2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2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2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2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2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2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2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2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2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2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2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2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2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2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2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2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2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2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2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2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2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2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2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2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2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2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2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2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2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2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2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2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.75" thickBot="1" x14ac:dyDescent="0.3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2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2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2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2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2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2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2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2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2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2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2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2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2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2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2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2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2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2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2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2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2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2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2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2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2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2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2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2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2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2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2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2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2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2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2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2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2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2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2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2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2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2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2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2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2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2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2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2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2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2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2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2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2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2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2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2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2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2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2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2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2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2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2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2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2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2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2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2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2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2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2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2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2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2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2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2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2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2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2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2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2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2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2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2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2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2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2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2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2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2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2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2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2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.75" thickBot="1" x14ac:dyDescent="0.3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2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2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2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2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2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2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2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2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2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2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2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2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2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2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2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2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2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2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2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2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2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2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2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2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2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2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2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2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2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2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2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2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2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2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2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2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2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2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2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2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2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2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2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2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2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2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2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2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2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2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2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2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2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2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.75" thickBot="1" x14ac:dyDescent="0.3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2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2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2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2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.75" thickBot="1" x14ac:dyDescent="0.3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2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2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2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.75" thickBot="1" x14ac:dyDescent="0.3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2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2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2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2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2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2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2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2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2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2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2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2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2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2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2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2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2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2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2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2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2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2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2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2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2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2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2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2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2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2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2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2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2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2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2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2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2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2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2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2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2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2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2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2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2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2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2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2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2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2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2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2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2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2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2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2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2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2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2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2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2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2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2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2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2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2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2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2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2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2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2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2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2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2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2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2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2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2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2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2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2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2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2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2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2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2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2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2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2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2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2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2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2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2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2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2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2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2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2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2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2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2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2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2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2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2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2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2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2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2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2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2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2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2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2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2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2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2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2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2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2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2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2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2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2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2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2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2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2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2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2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2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2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2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2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2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2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2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2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2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2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2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2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2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2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2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2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2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2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2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2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2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2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2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2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2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2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2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2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2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2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2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2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2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2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2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2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2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2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2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2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2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2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2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2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2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2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2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2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2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2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2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2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2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2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2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2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2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2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2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2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2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2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2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2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2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2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2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2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2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2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2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2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2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2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2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2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2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2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2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2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2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2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2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2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2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2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2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2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2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2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2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2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2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2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2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2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2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2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2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2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2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2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2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2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2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2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2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2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2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2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2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2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2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2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2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2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2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2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2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2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2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2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2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2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2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2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2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2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2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2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2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2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2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2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2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2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2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2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2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.75" thickBot="1" x14ac:dyDescent="0.3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2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2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2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2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2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2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2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2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2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2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2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2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2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2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2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2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2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.75" thickBot="1" x14ac:dyDescent="0.3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2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2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2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2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2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2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2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2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2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2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2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2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2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2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2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2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2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2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2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2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2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2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2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2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2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2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2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2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2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2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2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2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2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2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2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2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2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2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2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2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2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2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2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2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2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2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2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2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2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2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2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2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2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2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2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2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2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2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2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2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2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2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2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2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2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2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2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2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2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2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2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2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2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2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2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2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2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2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2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2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2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2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2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2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2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2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2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2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2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2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2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2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2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2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2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2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2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2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2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2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2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2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2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2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2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2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2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2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2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2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2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2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2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2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2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2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2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2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2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2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2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2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2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2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2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2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2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2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2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2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2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2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2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2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2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2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2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2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2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2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2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2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2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2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2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2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2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2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2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2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2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2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2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2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.75" thickBot="1" x14ac:dyDescent="0.3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2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2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2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2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2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2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2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2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2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2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2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2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2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2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2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2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2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2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2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2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2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2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2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2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2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2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2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2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2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2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2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2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2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2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2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2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2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2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2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2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2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2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.75" thickBot="1" x14ac:dyDescent="0.3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2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2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.75" thickBot="1" x14ac:dyDescent="0.3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2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2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2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2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2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2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2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2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.75" thickBot="1" x14ac:dyDescent="0.3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2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2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2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2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2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2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2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2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2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2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2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2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2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2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2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2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2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2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2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2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2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2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2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2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2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2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2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2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2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2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2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.75" thickBot="1" x14ac:dyDescent="0.3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2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2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2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2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2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2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2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2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2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2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2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2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2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.75" thickBot="1" x14ac:dyDescent="0.3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2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2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2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2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2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2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2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2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2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2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2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2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2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2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2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2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2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2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2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2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2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2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2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2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2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2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2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2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2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2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2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2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2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2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.75" thickBot="1" x14ac:dyDescent="0.3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2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2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2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2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2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2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2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2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2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2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2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2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2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2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2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2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2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2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2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2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2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2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2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2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2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2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2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2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2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2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2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2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2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2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2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2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2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2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2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2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2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2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2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2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2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2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2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2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2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2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2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2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2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2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2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2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2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2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2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2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2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2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2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2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2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2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2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2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2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2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2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2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2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2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2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2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2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2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2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2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2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2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2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2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2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2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2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2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2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2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2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2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2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2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2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2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2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2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2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2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2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2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2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2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2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2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2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2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2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2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2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2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2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2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2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2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2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2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2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2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2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2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2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2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2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2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2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2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2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2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2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2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2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2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2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2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2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2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2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2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2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2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2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2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2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2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2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2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2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2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2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2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2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2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2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2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2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2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2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2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2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2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2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2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2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2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2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2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2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2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2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2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2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2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2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2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2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2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2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2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2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2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2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2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2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2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2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2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2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2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2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2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2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2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2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2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2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2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2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2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2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2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2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2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2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2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2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2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2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2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2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2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2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2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2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2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2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2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2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2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2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2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2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2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2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2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2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2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2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2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2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2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2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2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2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2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2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2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2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.75" thickBot="1" x14ac:dyDescent="0.3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2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2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2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2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2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2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2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2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2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2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2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2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2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2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2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2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2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2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2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2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2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2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2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2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2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2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2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2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2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2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2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2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2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2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2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2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2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2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2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2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2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2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2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2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2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2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2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2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2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2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2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.75" thickBot="1" x14ac:dyDescent="0.3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2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2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2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2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2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2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2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2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2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2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2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2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2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2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2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2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2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2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2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2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2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2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2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2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2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2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2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2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2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2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2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2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2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2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2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2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2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2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2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2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2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2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2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2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2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2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2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2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2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2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2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2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2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2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2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2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2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2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2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2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2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2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2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2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2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2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2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2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2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2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2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2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2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2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2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2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2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2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2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2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2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2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2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2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2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2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2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2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2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2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2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2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2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2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2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2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2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2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2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2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2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2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2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2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2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2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2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2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2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2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2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2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2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2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2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2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2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2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2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2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2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2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2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2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2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2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2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2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2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2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2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2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2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2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2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2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2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2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2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2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2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2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2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2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2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2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2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2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2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2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2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.75" thickBot="1" x14ac:dyDescent="0.3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2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2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2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.75" thickBot="1" x14ac:dyDescent="0.3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2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2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.75" thickBot="1" x14ac:dyDescent="0.3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2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2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.75" thickBot="1" x14ac:dyDescent="0.3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2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2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2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.75" thickBot="1" x14ac:dyDescent="0.3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2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2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2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.75" thickBot="1" x14ac:dyDescent="0.3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2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2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2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2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.75" thickBot="1" x14ac:dyDescent="0.3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2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2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2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2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2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2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2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2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2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2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2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2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2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.75" thickBot="1" x14ac:dyDescent="0.3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2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2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2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2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2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2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2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2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2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2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2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2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2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2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2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2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2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2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2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2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2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2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2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2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2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2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2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2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2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2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2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2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2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2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2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2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2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2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.75" thickBot="1" x14ac:dyDescent="0.3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2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2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2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2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2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2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2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2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2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2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2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2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2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2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2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2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2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2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2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2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2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2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2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2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2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2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2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2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2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2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2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2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2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2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2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2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2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2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2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2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2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2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2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2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2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2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2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2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2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2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2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2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2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2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2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2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2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2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2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2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2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2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2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2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2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2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2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2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2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2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2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2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2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2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.75" thickBot="1" x14ac:dyDescent="0.3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2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2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2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2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2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2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2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2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2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2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2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2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2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2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2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2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2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2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2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2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2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2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2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2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2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2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2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2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2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2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2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2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2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2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2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2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2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2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2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2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2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2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2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2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2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2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2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2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2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2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2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2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2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2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2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2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2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2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2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2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2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.75" thickBot="1" x14ac:dyDescent="0.3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2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2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2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2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2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2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2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2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2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2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2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2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2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2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2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2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2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2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2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2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2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2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2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2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2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2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2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2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2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2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2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2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2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2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2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2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2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2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2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2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.75" thickBot="1" x14ac:dyDescent="0.3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2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2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2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2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2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2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2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2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2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2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2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2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2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2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2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2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2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2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2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2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2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2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2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2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2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2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2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2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2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2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2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2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2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2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2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2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2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2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2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2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2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2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2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2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2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2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2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2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2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2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2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2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2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2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2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2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2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2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2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2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2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2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2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2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2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2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2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2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2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2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2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2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2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2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2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2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2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2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2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2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2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2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.75" thickBot="1" x14ac:dyDescent="0.3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2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2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2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2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2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2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2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2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2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2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2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2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2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2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2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2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2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2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2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2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2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2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2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2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2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2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2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2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2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2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2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2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2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2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2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2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2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2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2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2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2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2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2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2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2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2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2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2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2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2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2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2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2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2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2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2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2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2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2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2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2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2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2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2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2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2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2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2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2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2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2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2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2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2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2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2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2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2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2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2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2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2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2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2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2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2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2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.75" thickBot="1" x14ac:dyDescent="0.3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2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2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2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2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2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2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2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2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2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2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2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2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2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2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2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2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2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2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.75" thickBot="1" x14ac:dyDescent="0.3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2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2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2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2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2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2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2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2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2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2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2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2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2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2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2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2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2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2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2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2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2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2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.75" thickBot="1" x14ac:dyDescent="0.3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2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2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2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.75" thickBot="1" x14ac:dyDescent="0.3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2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2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2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2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2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2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.75" thickBot="1" x14ac:dyDescent="0.3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2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2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2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2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.75" thickBot="1" x14ac:dyDescent="0.3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2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2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2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2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2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2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2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2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2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2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2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2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2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2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2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2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2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2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2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2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2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2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2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2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2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2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2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2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2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2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2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2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2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2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2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2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2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2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2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2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2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2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2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2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2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2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2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2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2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2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2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.75" thickBot="1" x14ac:dyDescent="0.3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2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2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2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2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2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2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2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2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2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2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2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2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2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.75" thickBot="1" x14ac:dyDescent="0.3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2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2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2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2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2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2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2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2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2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2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2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2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2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2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2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2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2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2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2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2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2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2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2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2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.75" thickBot="1" x14ac:dyDescent="0.3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2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2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2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2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2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2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2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2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2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2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2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2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2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2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2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.75" thickBot="1" x14ac:dyDescent="0.3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2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2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2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2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2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2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.75" thickBot="1" x14ac:dyDescent="0.3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2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2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2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2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2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.75" thickBot="1" x14ac:dyDescent="0.3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2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2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2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2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2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.75" thickBot="1" x14ac:dyDescent="0.3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2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2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2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2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2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2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2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2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2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2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2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2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2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2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2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2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2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2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2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2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2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2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2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2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2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2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2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2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2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2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2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2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2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2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2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2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2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2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2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2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2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2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2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2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2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2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2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2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2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2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2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2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2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2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2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2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2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2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2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2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2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2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.75" thickBot="1" x14ac:dyDescent="0.3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2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2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2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2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2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2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2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.75" thickBot="1" x14ac:dyDescent="0.3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2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2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2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2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2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2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.75" thickBot="1" x14ac:dyDescent="0.3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2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2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2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2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2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2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2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2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2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2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2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2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2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2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2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2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2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2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2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2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2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2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2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2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2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2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2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2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2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2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2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2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2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2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2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2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.75" thickBot="1" x14ac:dyDescent="0.3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2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2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2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2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2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2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2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2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2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2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2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2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2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2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2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2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.75" thickBot="1" x14ac:dyDescent="0.3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2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2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2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2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2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2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2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2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2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2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2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2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2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2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2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2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2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2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2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2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2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2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2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2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2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2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2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2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2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2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2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2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2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2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2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2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.75" thickBot="1" x14ac:dyDescent="0.3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2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2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2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2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2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2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2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2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2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2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2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2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2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2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2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2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2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2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2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2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2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2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2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2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2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2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2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2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2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2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2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2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2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2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2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2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2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2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2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2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2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2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2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2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2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2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2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2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2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2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2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2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2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2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2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2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2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2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2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2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2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2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2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2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2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2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2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2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2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2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2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2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2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2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2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2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2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2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2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2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2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2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2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2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2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2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2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2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2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2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2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2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2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2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2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2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2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2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2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2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2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2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2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2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2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2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2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2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2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2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2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2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2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2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2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2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2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2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.75" thickBot="1" x14ac:dyDescent="0.3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2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2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2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2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2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2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2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2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2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2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2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2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2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2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2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2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2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2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2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2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2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2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2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2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2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2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2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2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2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2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2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2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2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2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2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2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2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2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2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2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2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2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2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2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2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2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2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2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2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2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2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2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2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2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2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2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2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2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2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2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2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2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2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2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2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2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2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2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2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2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2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2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2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2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2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2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2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2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2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.75" thickBot="1" x14ac:dyDescent="0.3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2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2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.75" thickBot="1" x14ac:dyDescent="0.3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2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2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2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2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2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2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2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2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2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2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.75" thickBot="1" x14ac:dyDescent="0.3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2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2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2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2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2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2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2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2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2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2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.75" thickBot="1" x14ac:dyDescent="0.3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2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2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2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2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2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2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2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2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2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2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2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2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2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2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2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2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2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2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2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2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2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2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2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2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2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2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2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2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2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2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2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2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2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2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2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2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2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2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2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2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2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2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2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2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2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2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2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2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2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2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2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2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2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.75" thickBot="1" x14ac:dyDescent="0.3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2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2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2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2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2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2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2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2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2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2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2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2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2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2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2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2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2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2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2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2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2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.75" thickBot="1" x14ac:dyDescent="0.3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2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2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2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2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2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2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2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2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2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2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.75" thickBot="1" x14ac:dyDescent="0.3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2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2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2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2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2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2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2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2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2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2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2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2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2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2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2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2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2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2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2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2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2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2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2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2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2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2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2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2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2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.75" thickBot="1" x14ac:dyDescent="0.3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2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2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2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2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2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2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2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2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2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2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2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2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2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2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2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2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2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2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2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2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2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2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2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2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2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2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2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2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2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2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2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2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2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2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2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2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2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2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2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2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2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2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2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2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2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2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2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2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2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2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2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2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2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.75" thickBot="1" x14ac:dyDescent="0.3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2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2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2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2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2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2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2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2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2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2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2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2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2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2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2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2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2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2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2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2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2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2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.75" thickBot="1" x14ac:dyDescent="0.3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2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2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2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.75" thickBot="1" x14ac:dyDescent="0.3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2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2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.75" thickBot="1" x14ac:dyDescent="0.3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2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2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2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2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2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2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.75" thickBot="1" x14ac:dyDescent="0.3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2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2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2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2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2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2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2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2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2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2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2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2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2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2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2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2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2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2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2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2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2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2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2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2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2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2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2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2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2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2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2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2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2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2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2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2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2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2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2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2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2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.75" thickBot="1" x14ac:dyDescent="0.3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2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2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2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2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2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2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2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2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.75" thickBot="1" x14ac:dyDescent="0.3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2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2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2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.75" thickBot="1" x14ac:dyDescent="0.3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2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2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2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2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2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2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2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2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2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2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2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.75" thickBot="1" x14ac:dyDescent="0.3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2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2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2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2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2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2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2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2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2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2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2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2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.75" thickBot="1" x14ac:dyDescent="0.3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2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2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2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2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2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2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2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2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2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.75" thickBot="1" x14ac:dyDescent="0.3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2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2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2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2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2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2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2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2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2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2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2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2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2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2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2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2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2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2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2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2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2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2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.75" thickBot="1" x14ac:dyDescent="0.3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2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2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2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2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2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2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2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2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2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2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2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2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2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2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2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2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2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2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2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2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2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2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2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2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2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2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2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2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2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2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2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2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.75" thickBot="1" x14ac:dyDescent="0.3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2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2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.75" thickBot="1" x14ac:dyDescent="0.3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2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2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.75" thickBot="1" x14ac:dyDescent="0.3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2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2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2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2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2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2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2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2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.75" thickBot="1" x14ac:dyDescent="0.3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2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2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2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2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2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2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2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2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2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2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2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2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2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2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2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2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2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2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2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2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2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2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2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2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2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2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2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2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2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2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2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2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2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2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2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2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2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2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2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.75" thickBot="1" x14ac:dyDescent="0.3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2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2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2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2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2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2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2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.75" thickBot="1" x14ac:dyDescent="0.3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2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2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.75" thickBot="1" x14ac:dyDescent="0.3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2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2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2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.75" thickBot="1" x14ac:dyDescent="0.3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2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2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2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2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2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2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2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2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2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2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.75" thickBot="1" x14ac:dyDescent="0.3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2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2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2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2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2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2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2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2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2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.75" thickBot="1" x14ac:dyDescent="0.3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2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2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2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2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2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2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2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2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2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2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2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2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2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2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2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.75" thickBot="1" x14ac:dyDescent="0.3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2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2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2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.75" thickBot="1" x14ac:dyDescent="0.3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2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2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2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2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2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2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2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2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2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2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2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2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2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2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2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2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2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2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2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2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2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2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2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2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2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2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2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2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2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2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2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2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2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2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2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2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2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2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2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2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2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2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2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2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.75" thickBot="1" x14ac:dyDescent="0.3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2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2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2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2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2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2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2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2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2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2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2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2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2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2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2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2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2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2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2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2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2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2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2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2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2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2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2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2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2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2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2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2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2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2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2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2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2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2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2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2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2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2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2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2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2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2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2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2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2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2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2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2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2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2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2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2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2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2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2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2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2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2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2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2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2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2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2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2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2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2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2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2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2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.75" thickBot="1" x14ac:dyDescent="0.3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2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2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2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2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2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2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2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2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2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2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2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2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2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2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2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2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2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2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2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2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2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2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2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2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2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2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2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2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2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2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2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2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.75" thickBot="1" x14ac:dyDescent="0.3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2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2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2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.75" thickBot="1" x14ac:dyDescent="0.3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2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2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2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2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2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2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2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2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2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2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2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2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2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2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2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2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2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2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2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2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2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2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2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2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2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2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2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2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2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2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2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2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2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2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2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2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2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2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2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2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2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2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2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2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2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2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2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2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2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2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2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2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2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2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2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2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2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.75" thickBot="1" x14ac:dyDescent="0.3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2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2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2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2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2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2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2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2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2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2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2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2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2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2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2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2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2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2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2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2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2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2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2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2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2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.75" thickBot="1" x14ac:dyDescent="0.3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2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2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.75" thickBot="1" x14ac:dyDescent="0.3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2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2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.75" thickBot="1" x14ac:dyDescent="0.3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2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2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2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2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2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2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2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2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2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2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2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2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2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2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2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2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2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2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2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2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2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2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2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2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2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2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2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2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2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2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2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2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2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2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2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2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2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2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2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2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2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2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2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2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2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2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2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2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2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2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2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2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2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2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2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2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2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2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2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2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2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2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2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2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2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2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2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2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2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2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2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2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.75" thickBot="1" x14ac:dyDescent="0.3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2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2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2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2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2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2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2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2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2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2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2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2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2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2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2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2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2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2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2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2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2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2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2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2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2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2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2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2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2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2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2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2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2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2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2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.75" thickBot="1" x14ac:dyDescent="0.3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2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2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2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2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2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2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2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.75" thickBot="1" x14ac:dyDescent="0.3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2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2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2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2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2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2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2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.75" thickBot="1" x14ac:dyDescent="0.3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2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2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2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2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2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2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2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.75" thickBot="1" x14ac:dyDescent="0.3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2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2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2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2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2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2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2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2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2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.75" thickBot="1" x14ac:dyDescent="0.3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2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2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2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2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2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2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2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2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2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2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.75" thickBot="1" x14ac:dyDescent="0.3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2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2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2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2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2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2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2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2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2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2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2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2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2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2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2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2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2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2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2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2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2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2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2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2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2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2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2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2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2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2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2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2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2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2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2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2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.75" thickBot="1" x14ac:dyDescent="0.3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2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2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2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.75" thickBot="1" x14ac:dyDescent="0.3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2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2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2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2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2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2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2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2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2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2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2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2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2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2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2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2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2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2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2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2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.75" thickBot="1" x14ac:dyDescent="0.3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2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2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2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2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2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.75" thickBot="1" x14ac:dyDescent="0.3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2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2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2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2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2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2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2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2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2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2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2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2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2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2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2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2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2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2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2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2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2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.75" thickBot="1" x14ac:dyDescent="0.3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2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2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2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2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.75" thickBot="1" x14ac:dyDescent="0.3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2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2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2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.75" thickBot="1" x14ac:dyDescent="0.3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2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2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.75" thickBot="1" x14ac:dyDescent="0.3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2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2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.75" thickBot="1" x14ac:dyDescent="0.3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2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2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2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.75" thickBot="1" x14ac:dyDescent="0.3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2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2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2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2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2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2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2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2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2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2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2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2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2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2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2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2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2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2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2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2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2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2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2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2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2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2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2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2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2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2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2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2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2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2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2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2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2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2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2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2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2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2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2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2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2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2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2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2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2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2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2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2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2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2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2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2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2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2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2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2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2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2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2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2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2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2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2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2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2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2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2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2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2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2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2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2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2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2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2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2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2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2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2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2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2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2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2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2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2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2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2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2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2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2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2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2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2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2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2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2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2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2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2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2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2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2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2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2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2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2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2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2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2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2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2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2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2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2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2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2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.75" thickBot="1" x14ac:dyDescent="0.3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2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2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2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2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2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2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2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2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2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.75" thickBot="1" x14ac:dyDescent="0.3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2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2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2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2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2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2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2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2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2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2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2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2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2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2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2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.75" thickBot="1" x14ac:dyDescent="0.3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2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2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2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2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.75" thickBot="1" x14ac:dyDescent="0.3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2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2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2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2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.75" thickBot="1" x14ac:dyDescent="0.3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.75" thickBot="1" x14ac:dyDescent="0.3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.75" thickBot="1" x14ac:dyDescent="0.3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2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2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2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2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2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2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2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2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2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2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2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2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2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2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2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2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.75" thickBot="1" x14ac:dyDescent="0.3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.75" thickBot="1" x14ac:dyDescent="0.3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.75" thickBot="1" x14ac:dyDescent="0.3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.75" thickBot="1" x14ac:dyDescent="0.3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.75" thickBot="1" x14ac:dyDescent="0.3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.75" thickBot="1" x14ac:dyDescent="0.3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.75" thickBot="1" x14ac:dyDescent="0.3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.75" thickTop="1" x14ac:dyDescent="0.25"/>
    <row r="28" spans="1:17" ht="15.75" thickBot="1" x14ac:dyDescent="0.3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.75" thickTop="1" x14ac:dyDescent="0.2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2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2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2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.75" thickBot="1" x14ac:dyDescent="0.3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.75" thickBot="1" x14ac:dyDescent="0.3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.75" thickBot="1" x14ac:dyDescent="0.3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.75" thickBot="1" x14ac:dyDescent="0.3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.75" thickBot="1" x14ac:dyDescent="0.3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.75" thickBot="1" x14ac:dyDescent="0.3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.75" thickBot="1" x14ac:dyDescent="0.3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.75" thickTop="1" x14ac:dyDescent="0.25"/>
    <row r="44" spans="1:17" ht="15.75" thickBot="1" x14ac:dyDescent="0.3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.75" thickTop="1" x14ac:dyDescent="0.2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2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2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2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.75" thickBot="1" x14ac:dyDescent="0.3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.75" thickBot="1" x14ac:dyDescent="0.3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.75" thickBot="1" x14ac:dyDescent="0.3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.75" thickBot="1" x14ac:dyDescent="0.3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2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2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.75" thickBot="1" x14ac:dyDescent="0.3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.75" thickBot="1" x14ac:dyDescent="0.3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.75" thickBot="1" x14ac:dyDescent="0.3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.75" thickBot="1" x14ac:dyDescent="0.3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.75" thickBot="1" x14ac:dyDescent="0.3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.75" thickTop="1" x14ac:dyDescent="0.25"/>
    <row r="63" spans="1:17" ht="15.75" thickBot="1" x14ac:dyDescent="0.3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.75" thickTop="1" x14ac:dyDescent="0.2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2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2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2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.75" thickBot="1" x14ac:dyDescent="0.3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.75" thickBot="1" x14ac:dyDescent="0.3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.75" thickBot="1" x14ac:dyDescent="0.3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.75" thickBot="1" x14ac:dyDescent="0.3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.75" thickBot="1" x14ac:dyDescent="0.3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.75" thickBot="1" x14ac:dyDescent="0.3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.75" thickBot="1" x14ac:dyDescent="0.3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.75" thickTop="1" x14ac:dyDescent="0.25"/>
    <row r="77" spans="1:17" ht="15.75" thickBot="1" x14ac:dyDescent="0.3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.75" thickTop="1" x14ac:dyDescent="0.2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2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2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2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.75" thickBot="1" x14ac:dyDescent="0.3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2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2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.75" thickBot="1" x14ac:dyDescent="0.3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.75" thickBot="1" x14ac:dyDescent="0.3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.75" thickBot="1" x14ac:dyDescent="0.3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.75" thickBot="1" x14ac:dyDescent="0.3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2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2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2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2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2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2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2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2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.75" thickBot="1" x14ac:dyDescent="0.3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.75" thickBot="1" x14ac:dyDescent="0.3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.75" thickBot="1" x14ac:dyDescent="0.3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.75" thickBot="1" x14ac:dyDescent="0.3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.75" thickBot="1" x14ac:dyDescent="0.3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.75" thickTop="1" x14ac:dyDescent="0.25"/>
    <row r="105" spans="1:17" ht="15.75" thickBot="1" x14ac:dyDescent="0.3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.75" thickTop="1" x14ac:dyDescent="0.2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2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2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2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.75" thickBot="1" x14ac:dyDescent="0.3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.75" thickBot="1" x14ac:dyDescent="0.3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.75" thickBot="1" x14ac:dyDescent="0.3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.75" thickBot="1" x14ac:dyDescent="0.3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.75" thickBot="1" x14ac:dyDescent="0.3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.75" thickBot="1" x14ac:dyDescent="0.3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.75" thickBot="1" x14ac:dyDescent="0.3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.75" thickTop="1" x14ac:dyDescent="0.25"/>
    <row r="118" spans="1:17" ht="15.75" thickBot="1" x14ac:dyDescent="0.3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.75" thickTop="1" x14ac:dyDescent="0.2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2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2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2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.75" thickBot="1" x14ac:dyDescent="0.3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2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2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.75" thickBot="1" x14ac:dyDescent="0.3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.75" thickBot="1" x14ac:dyDescent="0.3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.75" thickBot="1" x14ac:dyDescent="0.3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.75" thickBot="1" x14ac:dyDescent="0.3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2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2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.75" thickBot="1" x14ac:dyDescent="0.3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.75" thickBot="1" x14ac:dyDescent="0.3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.75" thickBot="1" x14ac:dyDescent="0.3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.75" thickBot="1" x14ac:dyDescent="0.3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.75" thickBot="1" x14ac:dyDescent="0.3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style="75" bestFit="1" customWidth="1"/>
    <col min="6" max="6" width="16.85546875" style="75" bestFit="1" customWidth="1"/>
    <col min="7" max="7" width="10" style="75" bestFit="1" customWidth="1"/>
    <col min="8" max="16384" width="9.140625" style="75"/>
  </cols>
  <sheetData>
    <row r="1" spans="1:7" s="3" customFormat="1" ht="15.75" thickBot="1" x14ac:dyDescent="0.3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.75" thickTop="1" x14ac:dyDescent="0.25">
      <c r="A2" s="77" t="s">
        <v>50</v>
      </c>
      <c r="B2" s="77"/>
      <c r="C2" s="77"/>
      <c r="D2" s="77"/>
      <c r="E2" s="83"/>
      <c r="F2" s="83"/>
      <c r="G2" s="83"/>
    </row>
    <row r="3" spans="1:7" x14ac:dyDescent="0.25">
      <c r="A3" s="77"/>
      <c r="B3" s="77" t="s">
        <v>51</v>
      </c>
      <c r="C3" s="77"/>
      <c r="D3" s="77"/>
      <c r="E3" s="83"/>
      <c r="F3" s="83"/>
      <c r="G3" s="83"/>
    </row>
    <row r="4" spans="1:7" x14ac:dyDescent="0.2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2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.75" thickBot="1" x14ac:dyDescent="0.3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2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2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.75" thickBot="1" x14ac:dyDescent="0.3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2" thickBot="1" x14ac:dyDescent="0.25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.75" thickTop="1" x14ac:dyDescent="0.25">
      <c r="A11" s="77" t="s">
        <v>59</v>
      </c>
      <c r="B11" s="77"/>
      <c r="C11" s="77"/>
      <c r="D11" s="77"/>
      <c r="E11" s="83"/>
      <c r="F11" s="83"/>
      <c r="G11" s="83"/>
    </row>
    <row r="12" spans="1:7" x14ac:dyDescent="0.25">
      <c r="A12" s="77"/>
      <c r="B12" s="77" t="s">
        <v>60</v>
      </c>
      <c r="C12" s="77"/>
      <c r="D12" s="77"/>
      <c r="E12" s="83"/>
      <c r="F12" s="83"/>
      <c r="G12" s="83"/>
    </row>
    <row r="13" spans="1:7" x14ac:dyDescent="0.25">
      <c r="A13" s="77"/>
      <c r="B13" s="77"/>
      <c r="C13" s="77" t="s">
        <v>61</v>
      </c>
      <c r="D13" s="77"/>
      <c r="E13" s="83"/>
      <c r="F13" s="83"/>
      <c r="G13" s="83"/>
    </row>
    <row r="14" spans="1:7" x14ac:dyDescent="0.2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.75" thickBot="1" x14ac:dyDescent="0.3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.75" thickBot="1" x14ac:dyDescent="0.3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.75" thickBot="1" x14ac:dyDescent="0.3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2" thickBot="1" x14ac:dyDescent="0.25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76"/>
  <sheetViews>
    <sheetView zoomScale="120" zoomScaleNormal="120" workbookViewId="0">
      <pane xSplit="7" ySplit="2" topLeftCell="H3" activePane="bottomRight" state="frozenSplit"/>
      <selection pane="topRight" activeCell="H1" sqref="H1"/>
      <selection pane="bottomLeft" activeCell="A3" sqref="A3"/>
      <selection pane="bottomRight" activeCell="L2" sqref="L2"/>
    </sheetView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75" customWidth="1"/>
    <col min="11" max="11" width="10.5703125" style="162" customWidth="1"/>
    <col min="12" max="12" width="11.5703125" style="162" customWidth="1"/>
    <col min="13" max="13" width="8.7109375" style="162"/>
    <col min="14" max="14" width="11.28515625" style="162" bestFit="1" customWidth="1"/>
    <col min="15" max="15" width="8.7109375" style="162"/>
    <col min="16" max="17" width="9.140625" style="162" bestFit="1" customWidth="1"/>
    <col min="18" max="16384" width="8.7109375" style="162"/>
  </cols>
  <sheetData>
    <row r="1" spans="1:12" ht="15.75" thickBot="1" x14ac:dyDescent="0.3">
      <c r="A1" s="163"/>
      <c r="B1" s="163"/>
      <c r="C1" s="163"/>
      <c r="D1" s="163"/>
      <c r="E1" s="163"/>
      <c r="F1" s="163"/>
      <c r="G1" s="163"/>
      <c r="H1" s="179"/>
      <c r="I1" s="179"/>
      <c r="J1" s="179"/>
      <c r="K1" s="100"/>
    </row>
    <row r="2" spans="1:12" s="3" customFormat="1" ht="16.5" thickTop="1" thickBot="1" x14ac:dyDescent="0.3">
      <c r="A2" s="164"/>
      <c r="B2" s="164"/>
      <c r="C2" s="164"/>
      <c r="D2" s="164"/>
      <c r="E2" s="164"/>
      <c r="F2" s="164"/>
      <c r="G2" s="164"/>
      <c r="H2" s="99" t="s">
        <v>7874</v>
      </c>
      <c r="I2" s="99" t="s">
        <v>7875</v>
      </c>
      <c r="J2" s="178" t="s">
        <v>7736</v>
      </c>
      <c r="K2" s="99" t="s">
        <v>7735</v>
      </c>
      <c r="L2" s="39" t="s">
        <v>224</v>
      </c>
    </row>
    <row r="3" spans="1:12" ht="15.75" thickTop="1" x14ac:dyDescent="0.25">
      <c r="A3" s="163"/>
      <c r="B3" s="163" t="s">
        <v>3</v>
      </c>
      <c r="C3" s="163"/>
      <c r="D3" s="163"/>
      <c r="E3" s="163"/>
      <c r="F3" s="163"/>
      <c r="G3" s="163"/>
      <c r="H3" s="172"/>
      <c r="I3" s="172"/>
      <c r="J3" s="172"/>
      <c r="K3" s="136"/>
    </row>
    <row r="4" spans="1:12" x14ac:dyDescent="0.25">
      <c r="A4" s="163"/>
      <c r="B4" s="163"/>
      <c r="C4" s="163"/>
      <c r="D4" s="163" t="s">
        <v>4</v>
      </c>
      <c r="E4" s="163"/>
      <c r="F4" s="163"/>
      <c r="G4" s="163"/>
      <c r="H4" s="172"/>
      <c r="I4" s="172"/>
      <c r="J4" s="172"/>
      <c r="K4" s="136"/>
    </row>
    <row r="5" spans="1:12" x14ac:dyDescent="0.25">
      <c r="A5" s="163"/>
      <c r="B5" s="163"/>
      <c r="C5" s="163"/>
      <c r="D5" s="163"/>
      <c r="E5" s="163" t="s">
        <v>7709</v>
      </c>
      <c r="F5" s="163"/>
      <c r="G5" s="163"/>
      <c r="H5" s="172">
        <v>0.46</v>
      </c>
      <c r="I5" s="172">
        <v>0.19</v>
      </c>
      <c r="J5" s="172">
        <f>ROUND((H5-I5),5)</f>
        <v>0.27</v>
      </c>
      <c r="K5" s="136">
        <f>ROUND(IF(H5=0, IF(I5=0, 0, SIGN(-I5)), IF(I5=0, SIGN(H5), (H5-I5)/ABS(I5))),5)</f>
        <v>1.4210499999999999</v>
      </c>
    </row>
    <row r="6" spans="1:12" x14ac:dyDescent="0.25">
      <c r="A6" s="163"/>
      <c r="B6" s="163"/>
      <c r="C6" s="163"/>
      <c r="D6" s="163"/>
      <c r="E6" s="163" t="s">
        <v>7819</v>
      </c>
      <c r="F6" s="163"/>
      <c r="G6" s="163"/>
      <c r="H6" s="172">
        <v>7500</v>
      </c>
      <c r="I6" s="172">
        <v>0</v>
      </c>
      <c r="J6" s="172">
        <f>ROUND((H6-I6),5)</f>
        <v>7500</v>
      </c>
      <c r="K6" s="136">
        <f>ROUND(IF(H6=0, IF(I6=0, 0, SIGN(-I6)), IF(I6=0, SIGN(H6), (H6-I6)/ABS(I6))),5)</f>
        <v>1</v>
      </c>
    </row>
    <row r="7" spans="1:12" x14ac:dyDescent="0.25">
      <c r="A7" s="163"/>
      <c r="B7" s="163"/>
      <c r="C7" s="163"/>
      <c r="D7" s="163"/>
      <c r="E7" s="163" t="s">
        <v>5</v>
      </c>
      <c r="F7" s="163"/>
      <c r="G7" s="163"/>
      <c r="H7" s="172"/>
      <c r="I7" s="172"/>
      <c r="J7" s="172"/>
      <c r="K7" s="136"/>
    </row>
    <row r="8" spans="1:12" s="183" customFormat="1" x14ac:dyDescent="0.25">
      <c r="A8" s="184"/>
      <c r="B8" s="184"/>
      <c r="C8" s="184"/>
      <c r="D8" s="184"/>
      <c r="E8" s="184"/>
      <c r="F8" s="184" t="s">
        <v>7872</v>
      </c>
      <c r="G8" s="184"/>
      <c r="H8" s="172">
        <v>138405.5</v>
      </c>
      <c r="I8" s="172">
        <v>0</v>
      </c>
      <c r="J8" s="172">
        <f>ROUND((H8-I8),5)</f>
        <v>138405.5</v>
      </c>
      <c r="K8" s="136">
        <f>ROUND(IF(H8=0, IF(I8=0, 0, SIGN(-I8)), IF(I8=0, SIGN(H8), (H8-I8)/ABS(I8))),5)</f>
        <v>1</v>
      </c>
    </row>
    <row r="9" spans="1:12" s="183" customFormat="1" x14ac:dyDescent="0.25">
      <c r="A9" s="184"/>
      <c r="B9" s="184"/>
      <c r="C9" s="184"/>
      <c r="D9" s="184"/>
      <c r="E9" s="184"/>
      <c r="F9" s="184" t="s">
        <v>7477</v>
      </c>
      <c r="G9" s="184"/>
      <c r="H9" s="172">
        <v>150</v>
      </c>
      <c r="I9" s="172">
        <v>0</v>
      </c>
      <c r="J9" s="172">
        <f>ROUND((H9-I9),5)</f>
        <v>150</v>
      </c>
      <c r="K9" s="136">
        <f>ROUND(IF(H9=0, IF(I9=0, 0, SIGN(-I9)), IF(I9=0, SIGN(H9), (H9-I9)/ABS(I9))),5)</f>
        <v>1</v>
      </c>
    </row>
    <row r="10" spans="1:12" s="183" customFormat="1" ht="15.75" thickBot="1" x14ac:dyDescent="0.3">
      <c r="A10" s="184"/>
      <c r="B10" s="184"/>
      <c r="C10" s="184"/>
      <c r="D10" s="184"/>
      <c r="E10" s="184"/>
      <c r="F10" s="184" t="s">
        <v>7861</v>
      </c>
      <c r="G10" s="184"/>
      <c r="H10" s="176">
        <v>0</v>
      </c>
      <c r="I10" s="176">
        <v>61203.23</v>
      </c>
      <c r="J10" s="176">
        <f>ROUND((H10-I10),5)</f>
        <v>-61203.23</v>
      </c>
      <c r="K10" s="138">
        <f>ROUND(IF(H10=0, IF(I10=0, 0, SIGN(-I10)), IF(I10=0, SIGN(H10), (H10-I10)/ABS(I10))),5)</f>
        <v>-1</v>
      </c>
    </row>
    <row r="11" spans="1:12" x14ac:dyDescent="0.25">
      <c r="A11" s="163"/>
      <c r="B11" s="163"/>
      <c r="C11" s="163"/>
      <c r="D11" s="163"/>
      <c r="E11" s="163" t="s">
        <v>8</v>
      </c>
      <c r="F11" s="163"/>
      <c r="G11" s="163"/>
      <c r="H11" s="172">
        <f>ROUND(SUM(H8:H10),5)</f>
        <v>138555.5</v>
      </c>
      <c r="I11" s="172">
        <f t="shared" ref="I11:J11" si="0">ROUND(SUM(I8:I10),5)</f>
        <v>61203.23</v>
      </c>
      <c r="J11" s="172">
        <f t="shared" si="0"/>
        <v>77352.27</v>
      </c>
      <c r="K11" s="136">
        <f t="shared" ref="K11" si="1">ROUND(IF(H11=0, IF(I11=0, 0, SIGN(-I11)), IF(I11=0, SIGN(H11), (H11-I11)/ABS(I11))),5)</f>
        <v>1.26386</v>
      </c>
    </row>
    <row r="12" spans="1:12" x14ac:dyDescent="0.25">
      <c r="A12" s="163"/>
      <c r="B12" s="163"/>
      <c r="C12" s="163"/>
      <c r="D12" s="163"/>
      <c r="E12" s="163" t="s">
        <v>9</v>
      </c>
      <c r="F12" s="163"/>
      <c r="G12" s="163"/>
      <c r="H12" s="172"/>
      <c r="I12" s="172"/>
      <c r="J12" s="172"/>
      <c r="K12" s="136"/>
    </row>
    <row r="13" spans="1:12" x14ac:dyDescent="0.25">
      <c r="A13" s="163"/>
      <c r="B13" s="163"/>
      <c r="C13" s="163"/>
      <c r="D13" s="163"/>
      <c r="E13" s="163"/>
      <c r="F13" s="163" t="s">
        <v>10</v>
      </c>
      <c r="G13" s="163"/>
      <c r="H13" s="172">
        <v>41232.07</v>
      </c>
      <c r="I13" s="172">
        <v>22150</v>
      </c>
      <c r="J13" s="172">
        <f>ROUND((H13-I13),5)</f>
        <v>19082.07</v>
      </c>
      <c r="K13" s="136">
        <f>ROUND(IF(H13=0, IF(I13=0, 0, SIGN(-I13)), IF(I13=0, SIGN(H13), (H13-I13)/ABS(I13))),5)</f>
        <v>0.86148999999999998</v>
      </c>
    </row>
    <row r="14" spans="1:12" ht="15.75" thickBot="1" x14ac:dyDescent="0.3">
      <c r="A14" s="163"/>
      <c r="B14" s="163"/>
      <c r="C14" s="163"/>
      <c r="D14" s="163"/>
      <c r="E14" s="163"/>
      <c r="F14" s="163" t="s">
        <v>11</v>
      </c>
      <c r="G14" s="163"/>
      <c r="H14" s="176">
        <v>16952</v>
      </c>
      <c r="I14" s="176">
        <v>15554</v>
      </c>
      <c r="J14" s="176">
        <f>ROUND((H14-I14),5)</f>
        <v>1398</v>
      </c>
      <c r="K14" s="138">
        <f>ROUND(IF(H14=0, IF(I14=0, 0, SIGN(-I14)), IF(I14=0, SIGN(H14), (H14-I14)/ABS(I14))),5)</f>
        <v>8.9880000000000002E-2</v>
      </c>
    </row>
    <row r="15" spans="1:12" x14ac:dyDescent="0.25">
      <c r="A15" s="163"/>
      <c r="B15" s="163"/>
      <c r="C15" s="163"/>
      <c r="D15" s="163"/>
      <c r="E15" s="163" t="s">
        <v>12</v>
      </c>
      <c r="F15" s="163"/>
      <c r="G15" s="163"/>
      <c r="H15" s="172">
        <f>ROUND(SUM(H12:H14),5)</f>
        <v>58184.07</v>
      </c>
      <c r="I15" s="172">
        <f>ROUND(SUM(I12:I14),5)</f>
        <v>37704</v>
      </c>
      <c r="J15" s="172">
        <f>ROUND((H15-I15),5)</f>
        <v>20480.07</v>
      </c>
      <c r="K15" s="136">
        <f>ROUND(IF(H15=0, IF(I15=0, 0, SIGN(-I15)), IF(I15=0, SIGN(H15), (H15-I15)/ABS(I15))),5)</f>
        <v>0.54318</v>
      </c>
    </row>
    <row r="16" spans="1:12" s="183" customFormat="1" x14ac:dyDescent="0.25">
      <c r="A16" s="184"/>
      <c r="B16" s="184"/>
      <c r="C16" s="184"/>
      <c r="D16" s="184"/>
      <c r="E16" s="184" t="s">
        <v>228</v>
      </c>
      <c r="F16" s="184"/>
      <c r="G16" s="184"/>
      <c r="H16" s="172"/>
      <c r="I16" s="172"/>
      <c r="J16" s="172"/>
      <c r="K16" s="136"/>
    </row>
    <row r="17" spans="1:11" s="183" customFormat="1" ht="15.75" thickBot="1" x14ac:dyDescent="0.3">
      <c r="A17" s="184"/>
      <c r="B17" s="184"/>
      <c r="C17" s="184"/>
      <c r="D17" s="184"/>
      <c r="E17" s="184"/>
      <c r="F17" s="184" t="s">
        <v>7473</v>
      </c>
      <c r="G17" s="184"/>
      <c r="H17" s="176">
        <v>77.95</v>
      </c>
      <c r="I17" s="176">
        <v>69.87</v>
      </c>
      <c r="J17" s="176">
        <f>ROUND((H17-I17),5)</f>
        <v>8.08</v>
      </c>
      <c r="K17" s="138">
        <f>ROUND(IF(H17=0, IF(I17=0, 0, SIGN(-I17)), IF(I17=0, SIGN(H17), (H17-I17)/ABS(I17))),5)</f>
        <v>0.11564000000000001</v>
      </c>
    </row>
    <row r="18" spans="1:11" s="183" customFormat="1" x14ac:dyDescent="0.25">
      <c r="A18" s="184"/>
      <c r="B18" s="184"/>
      <c r="C18" s="184"/>
      <c r="D18" s="184"/>
      <c r="E18" s="184" t="s">
        <v>7472</v>
      </c>
      <c r="F18" s="184"/>
      <c r="G18" s="184"/>
      <c r="H18" s="172">
        <f>ROUND(SUM(H16:H17),5)</f>
        <v>77.95</v>
      </c>
      <c r="I18" s="172">
        <f>ROUND(SUM(I16:I17),5)</f>
        <v>69.87</v>
      </c>
      <c r="J18" s="172">
        <f>ROUND((H18-I18),5)</f>
        <v>8.08</v>
      </c>
      <c r="K18" s="136">
        <f>ROUND(IF(H18=0, IF(I18=0, 0, SIGN(-I18)), IF(I18=0, SIGN(H18), (H18-I18)/ABS(I18))),5)</f>
        <v>0.11564000000000001</v>
      </c>
    </row>
    <row r="19" spans="1:11" x14ac:dyDescent="0.25">
      <c r="A19" s="163"/>
      <c r="B19" s="163"/>
      <c r="C19" s="163"/>
      <c r="D19" s="163"/>
      <c r="E19" s="163" t="s">
        <v>13</v>
      </c>
      <c r="F19" s="163"/>
      <c r="G19" s="163"/>
      <c r="H19" s="172"/>
      <c r="I19" s="172"/>
      <c r="J19" s="172"/>
      <c r="K19" s="136"/>
    </row>
    <row r="20" spans="1:11" x14ac:dyDescent="0.25">
      <c r="A20" s="163"/>
      <c r="B20" s="163"/>
      <c r="C20" s="163"/>
      <c r="D20" s="163"/>
      <c r="E20" s="163"/>
      <c r="F20" s="163" t="s">
        <v>14</v>
      </c>
      <c r="G20" s="163"/>
      <c r="H20" s="172">
        <v>1000</v>
      </c>
      <c r="I20" s="172">
        <v>3300</v>
      </c>
      <c r="J20" s="172">
        <f>ROUND((H20-I20),5)</f>
        <v>-2300</v>
      </c>
      <c r="K20" s="136">
        <f>ROUND(IF(H20=0, IF(I20=0, 0, SIGN(-I20)), IF(I20=0, SIGN(H20), (H20-I20)/ABS(I20))),5)</f>
        <v>-0.69696999999999998</v>
      </c>
    </row>
    <row r="21" spans="1:11" ht="15.75" thickBot="1" x14ac:dyDescent="0.3">
      <c r="A21" s="163"/>
      <c r="B21" s="163"/>
      <c r="C21" s="163"/>
      <c r="D21" s="163"/>
      <c r="E21" s="163"/>
      <c r="F21" s="163" t="s">
        <v>15</v>
      </c>
      <c r="G21" s="163"/>
      <c r="H21" s="176">
        <v>783.91</v>
      </c>
      <c r="I21" s="176">
        <v>678.86</v>
      </c>
      <c r="J21" s="176">
        <f>ROUND((H21-I21),5)</f>
        <v>105.05</v>
      </c>
      <c r="K21" s="138">
        <f>ROUND(IF(H21=0, IF(I21=0, 0, SIGN(-I21)), IF(I21=0, SIGN(H21), (H21-I21)/ABS(I21))),5)</f>
        <v>0.15473999999999999</v>
      </c>
    </row>
    <row r="22" spans="1:11" x14ac:dyDescent="0.25">
      <c r="A22" s="163"/>
      <c r="B22" s="163"/>
      <c r="C22" s="163"/>
      <c r="D22" s="163"/>
      <c r="E22" s="163" t="s">
        <v>16</v>
      </c>
      <c r="F22" s="163"/>
      <c r="G22" s="163"/>
      <c r="H22" s="172">
        <f>ROUND(SUM(H19:H21),5)</f>
        <v>1783.91</v>
      </c>
      <c r="I22" s="172">
        <f>ROUND(SUM(I19:I21),5)</f>
        <v>3978.86</v>
      </c>
      <c r="J22" s="172">
        <f>ROUND((H22-I22),5)</f>
        <v>-2194.9499999999998</v>
      </c>
      <c r="K22" s="136">
        <f>ROUND(IF(H22=0, IF(I22=0, 0, SIGN(-I22)), IF(I22=0, SIGN(H22), (H22-I22)/ABS(I22))),5)</f>
        <v>-0.55164999999999997</v>
      </c>
    </row>
    <row r="23" spans="1:11" x14ac:dyDescent="0.25">
      <c r="A23" s="163"/>
      <c r="B23" s="163"/>
      <c r="C23" s="163"/>
      <c r="D23" s="163"/>
      <c r="E23" s="163" t="s">
        <v>7433</v>
      </c>
      <c r="F23" s="163"/>
      <c r="G23" s="163"/>
      <c r="H23" s="172"/>
      <c r="I23" s="172"/>
      <c r="J23" s="172"/>
      <c r="K23" s="136"/>
    </row>
    <row r="24" spans="1:11" ht="15.75" thickBot="1" x14ac:dyDescent="0.3">
      <c r="A24" s="163"/>
      <c r="B24" s="163"/>
      <c r="C24" s="163"/>
      <c r="D24" s="163"/>
      <c r="E24" s="163"/>
      <c r="F24" s="163" t="s">
        <v>13</v>
      </c>
      <c r="G24" s="163"/>
      <c r="H24" s="172">
        <v>15000</v>
      </c>
      <c r="I24" s="172">
        <v>0</v>
      </c>
      <c r="J24" s="172">
        <f>ROUND((H24-I24),5)</f>
        <v>15000</v>
      </c>
      <c r="K24" s="136">
        <f>ROUND(IF(H24=0, IF(I24=0, 0, SIGN(-I24)), IF(I24=0, SIGN(H24), (H24-I24)/ABS(I24))),5)</f>
        <v>1</v>
      </c>
    </row>
    <row r="25" spans="1:11" ht="15.75" thickBot="1" x14ac:dyDescent="0.3">
      <c r="A25" s="163"/>
      <c r="B25" s="163"/>
      <c r="C25" s="163"/>
      <c r="D25" s="163"/>
      <c r="E25" s="163" t="s">
        <v>7434</v>
      </c>
      <c r="F25" s="163"/>
      <c r="G25" s="163"/>
      <c r="H25" s="180">
        <f>ROUND(SUM(H23:H24),5)</f>
        <v>15000</v>
      </c>
      <c r="I25" s="180">
        <f>ROUND(SUM(I23:I24),5)</f>
        <v>0</v>
      </c>
      <c r="J25" s="180">
        <f>ROUND((H25-I25),5)</f>
        <v>15000</v>
      </c>
      <c r="K25" s="135">
        <f>ROUND(IF(H25=0, IF(I25=0, 0, SIGN(-I25)), IF(I25=0, SIGN(H25), (H25-I25)/ABS(I25))),5)</f>
        <v>1</v>
      </c>
    </row>
    <row r="26" spans="1:11" ht="15.75" thickBot="1" x14ac:dyDescent="0.3">
      <c r="A26" s="163"/>
      <c r="B26" s="163"/>
      <c r="C26" s="163"/>
      <c r="D26" s="163" t="s">
        <v>17</v>
      </c>
      <c r="E26" s="163"/>
      <c r="F26" s="163"/>
      <c r="G26" s="163"/>
      <c r="H26" s="177">
        <f>ROUND(H11+SUM(H15:H15)+H22+H25+H6+H5+H18,5)</f>
        <v>221101.89</v>
      </c>
      <c r="I26" s="177">
        <f>ROUND(I11+SUM(I15:I15)+I22+I25+I6+I5+I18,5)</f>
        <v>102956.15</v>
      </c>
      <c r="J26" s="177">
        <f>ROUND((H26-I26),5)</f>
        <v>118145.74</v>
      </c>
      <c r="K26" s="137">
        <f>ROUND(IF(H26=0, IF(I26=0, 0, SIGN(-I26)), IF(I26=0, SIGN(H26), (H26-I26)/ABS(I26))),5)</f>
        <v>1.1475299999999999</v>
      </c>
    </row>
    <row r="27" spans="1:11" x14ac:dyDescent="0.25">
      <c r="A27" s="163"/>
      <c r="B27" s="163"/>
      <c r="C27" s="163" t="s">
        <v>18</v>
      </c>
      <c r="D27" s="163"/>
      <c r="E27" s="163"/>
      <c r="F27" s="163"/>
      <c r="G27" s="163"/>
      <c r="H27" s="172">
        <f>H26</f>
        <v>221101.89</v>
      </c>
      <c r="I27" s="172">
        <f>I26</f>
        <v>102956.15</v>
      </c>
      <c r="J27" s="172">
        <f>ROUND((H27-I27),5)</f>
        <v>118145.74</v>
      </c>
      <c r="K27" s="136">
        <f>ROUND(IF(H27=0, IF(I27=0, 0, SIGN(-I27)), IF(I27=0, SIGN(H27), (H27-I27)/ABS(I27))),5)</f>
        <v>1.1475299999999999</v>
      </c>
    </row>
    <row r="28" spans="1:11" x14ac:dyDescent="0.25">
      <c r="A28" s="163"/>
      <c r="B28" s="163"/>
      <c r="C28" s="163"/>
      <c r="D28" s="163" t="s">
        <v>19</v>
      </c>
      <c r="E28" s="163"/>
      <c r="F28" s="163"/>
      <c r="G28" s="163"/>
      <c r="H28" s="172"/>
      <c r="I28" s="172"/>
      <c r="J28" s="172"/>
      <c r="K28" s="136"/>
    </row>
    <row r="29" spans="1:11" x14ac:dyDescent="0.25">
      <c r="A29" s="163"/>
      <c r="B29" s="163"/>
      <c r="C29" s="163"/>
      <c r="D29" s="163"/>
      <c r="E29" s="163" t="s">
        <v>7501</v>
      </c>
      <c r="F29" s="163"/>
      <c r="G29" s="163"/>
      <c r="H29" s="172"/>
      <c r="I29" s="172"/>
      <c r="J29" s="172"/>
      <c r="K29" s="136"/>
    </row>
    <row r="30" spans="1:11" x14ac:dyDescent="0.25">
      <c r="A30" s="163"/>
      <c r="B30" s="163"/>
      <c r="C30" s="163"/>
      <c r="D30" s="163"/>
      <c r="E30" s="163"/>
      <c r="F30" s="184" t="s">
        <v>7555</v>
      </c>
      <c r="G30" s="184"/>
      <c r="H30" s="172">
        <v>6076.87</v>
      </c>
      <c r="I30" s="172">
        <v>0</v>
      </c>
      <c r="J30" s="172">
        <f>ROUND((H30-I30),5)</f>
        <v>6076.87</v>
      </c>
      <c r="K30" s="136">
        <f>ROUND(IF(H30=0, IF(I30=0, 0, SIGN(-I30)), IF(I30=0, SIGN(H30), (H30-I30)/ABS(I30))),5)</f>
        <v>1</v>
      </c>
    </row>
    <row r="31" spans="1:11" ht="15.75" thickBot="1" x14ac:dyDescent="0.3">
      <c r="A31" s="163"/>
      <c r="B31" s="163"/>
      <c r="C31" s="163"/>
      <c r="D31" s="163"/>
      <c r="E31" s="163"/>
      <c r="F31" s="184" t="s">
        <v>7502</v>
      </c>
      <c r="G31" s="184"/>
      <c r="H31" s="176">
        <v>-224.57</v>
      </c>
      <c r="I31" s="176">
        <v>2862</v>
      </c>
      <c r="J31" s="176">
        <f>ROUND((H31-I31),5)</f>
        <v>-3086.57</v>
      </c>
      <c r="K31" s="138">
        <f>ROUND(IF(H31=0, IF(I31=0, 0, SIGN(-I31)), IF(I31=0, SIGN(H31), (H31-I31)/ABS(I31))),5)</f>
        <v>-1.07847</v>
      </c>
    </row>
    <row r="32" spans="1:11" x14ac:dyDescent="0.25">
      <c r="A32" s="163"/>
      <c r="B32" s="163"/>
      <c r="C32" s="163"/>
      <c r="D32" s="163"/>
      <c r="E32" s="163" t="s">
        <v>7503</v>
      </c>
      <c r="F32" s="163"/>
      <c r="G32" s="163"/>
      <c r="H32" s="172">
        <f>ROUND(SUM(H29:H31),5)</f>
        <v>5852.3</v>
      </c>
      <c r="I32" s="172">
        <f>ROUND(SUM(I29:I31),5)</f>
        <v>2862</v>
      </c>
      <c r="J32" s="172">
        <f>ROUND((H32-I32),5)</f>
        <v>2990.3</v>
      </c>
      <c r="K32" s="136">
        <f>ROUND(IF(H32=0, IF(I32=0, 0, SIGN(-I32)), IF(I32=0, SIGN(H32), (H32-I32)/ABS(I32))),5)</f>
        <v>1.0448299999999999</v>
      </c>
    </row>
    <row r="33" spans="1:11" x14ac:dyDescent="0.25">
      <c r="A33" s="163"/>
      <c r="B33" s="163"/>
      <c r="C33" s="163"/>
      <c r="D33" s="163"/>
      <c r="E33" s="163" t="s">
        <v>20</v>
      </c>
      <c r="F33" s="163"/>
      <c r="G33" s="163"/>
      <c r="H33" s="172"/>
      <c r="I33" s="172"/>
      <c r="J33" s="172"/>
      <c r="K33" s="136"/>
    </row>
    <row r="34" spans="1:11" x14ac:dyDescent="0.25">
      <c r="A34" s="163"/>
      <c r="B34" s="163"/>
      <c r="C34" s="163"/>
      <c r="D34" s="163"/>
      <c r="E34" s="163"/>
      <c r="F34" s="163" t="s">
        <v>7812</v>
      </c>
      <c r="G34" s="163"/>
      <c r="H34" s="172">
        <v>184.41</v>
      </c>
      <c r="I34" s="172">
        <v>0</v>
      </c>
      <c r="J34" s="172">
        <f t="shared" ref="J34:J39" si="2">ROUND((H34-I34),5)</f>
        <v>184.41</v>
      </c>
      <c r="K34" s="136">
        <f t="shared" ref="K34:K39" si="3">ROUND(IF(H34=0, IF(I34=0, 0, SIGN(-I34)), IF(I34=0, SIGN(H34), (H34-I34)/ABS(I34))),5)</f>
        <v>1</v>
      </c>
    </row>
    <row r="35" spans="1:11" x14ac:dyDescent="0.25">
      <c r="A35" s="163"/>
      <c r="B35" s="163"/>
      <c r="C35" s="163"/>
      <c r="D35" s="163"/>
      <c r="E35" s="163"/>
      <c r="F35" s="163" t="s">
        <v>7664</v>
      </c>
      <c r="G35" s="163"/>
      <c r="H35" s="172">
        <v>18692.14</v>
      </c>
      <c r="I35" s="172">
        <v>15.04</v>
      </c>
      <c r="J35" s="172">
        <f t="shared" si="2"/>
        <v>18677.099999999999</v>
      </c>
      <c r="K35" s="136">
        <f t="shared" si="3"/>
        <v>1241.82846</v>
      </c>
    </row>
    <row r="36" spans="1:11" x14ac:dyDescent="0.25">
      <c r="A36" s="163"/>
      <c r="B36" s="163"/>
      <c r="C36" s="163"/>
      <c r="D36" s="163"/>
      <c r="E36" s="163"/>
      <c r="F36" s="163" t="s">
        <v>21</v>
      </c>
      <c r="G36" s="163"/>
      <c r="H36" s="172">
        <v>0</v>
      </c>
      <c r="I36" s="172">
        <v>0.53</v>
      </c>
      <c r="J36" s="172">
        <f t="shared" si="2"/>
        <v>-0.53</v>
      </c>
      <c r="K36" s="136">
        <f t="shared" si="3"/>
        <v>-1</v>
      </c>
    </row>
    <row r="37" spans="1:11" x14ac:dyDescent="0.25">
      <c r="A37" s="163"/>
      <c r="B37" s="163"/>
      <c r="C37" s="163"/>
      <c r="D37" s="163"/>
      <c r="E37" s="163"/>
      <c r="F37" s="163" t="s">
        <v>22</v>
      </c>
      <c r="G37" s="163"/>
      <c r="H37" s="172">
        <v>6157.26</v>
      </c>
      <c r="I37" s="172">
        <v>2017.76</v>
      </c>
      <c r="J37" s="172">
        <f t="shared" si="2"/>
        <v>4139.5</v>
      </c>
      <c r="K37" s="136">
        <f t="shared" si="3"/>
        <v>2.0515300000000001</v>
      </c>
    </row>
    <row r="38" spans="1:11" x14ac:dyDescent="0.25">
      <c r="A38" s="163"/>
      <c r="B38" s="163"/>
      <c r="C38" s="163"/>
      <c r="D38" s="163"/>
      <c r="E38" s="163"/>
      <c r="F38" s="163" t="s">
        <v>23</v>
      </c>
      <c r="G38" s="163"/>
      <c r="H38" s="172">
        <v>0</v>
      </c>
      <c r="I38" s="172">
        <v>60</v>
      </c>
      <c r="J38" s="172">
        <f t="shared" si="2"/>
        <v>-60</v>
      </c>
      <c r="K38" s="136">
        <f t="shared" si="3"/>
        <v>-1</v>
      </c>
    </row>
    <row r="39" spans="1:11" x14ac:dyDescent="0.25">
      <c r="A39" s="163"/>
      <c r="B39" s="163"/>
      <c r="C39" s="163"/>
      <c r="D39" s="163"/>
      <c r="E39" s="163"/>
      <c r="F39" s="163" t="s">
        <v>24</v>
      </c>
      <c r="G39" s="163"/>
      <c r="H39" s="172">
        <v>0</v>
      </c>
      <c r="I39" s="172">
        <v>382.5</v>
      </c>
      <c r="J39" s="172">
        <f t="shared" si="2"/>
        <v>-382.5</v>
      </c>
      <c r="K39" s="136">
        <f t="shared" si="3"/>
        <v>-1</v>
      </c>
    </row>
    <row r="40" spans="1:11" x14ac:dyDescent="0.25">
      <c r="A40" s="163"/>
      <c r="B40" s="163"/>
      <c r="C40" s="163"/>
      <c r="D40" s="163"/>
      <c r="E40" s="163"/>
      <c r="F40" s="163" t="s">
        <v>25</v>
      </c>
      <c r="G40" s="163"/>
      <c r="H40" s="172"/>
      <c r="I40" s="172"/>
      <c r="J40" s="172"/>
      <c r="K40" s="136"/>
    </row>
    <row r="41" spans="1:11" x14ac:dyDescent="0.25">
      <c r="A41" s="163"/>
      <c r="B41" s="163"/>
      <c r="C41" s="163"/>
      <c r="D41" s="163"/>
      <c r="E41" s="163"/>
      <c r="F41" s="163"/>
      <c r="G41" s="163" t="s">
        <v>26</v>
      </c>
      <c r="H41" s="172">
        <v>561.08000000000004</v>
      </c>
      <c r="I41" s="172">
        <v>208.33</v>
      </c>
      <c r="J41" s="172">
        <f>ROUND((H41-I41),5)</f>
        <v>352.75</v>
      </c>
      <c r="K41" s="136">
        <f>ROUND(IF(H41=0, IF(I41=0, 0, SIGN(-I41)), IF(I41=0, SIGN(H41), (H41-I41)/ABS(I41))),5)</f>
        <v>1.69323</v>
      </c>
    </row>
    <row r="42" spans="1:11" ht="15.75" thickBot="1" x14ac:dyDescent="0.3">
      <c r="A42" s="163"/>
      <c r="B42" s="163"/>
      <c r="C42" s="163"/>
      <c r="D42" s="163"/>
      <c r="E42" s="163"/>
      <c r="F42" s="163"/>
      <c r="G42" s="163" t="s">
        <v>7525</v>
      </c>
      <c r="H42" s="176">
        <v>208.58</v>
      </c>
      <c r="I42" s="176">
        <v>507.08</v>
      </c>
      <c r="J42" s="176">
        <f>ROUND((H42-I42),5)</f>
        <v>-298.5</v>
      </c>
      <c r="K42" s="138">
        <f>ROUND(IF(H42=0, IF(I42=0, 0, SIGN(-I42)), IF(I42=0, SIGN(H42), (H42-I42)/ABS(I42))),5)</f>
        <v>-0.58865999999999996</v>
      </c>
    </row>
    <row r="43" spans="1:11" x14ac:dyDescent="0.25">
      <c r="A43" s="163"/>
      <c r="B43" s="163"/>
      <c r="C43" s="163"/>
      <c r="D43" s="163"/>
      <c r="E43" s="163"/>
      <c r="F43" s="163" t="s">
        <v>27</v>
      </c>
      <c r="G43" s="163"/>
      <c r="H43" s="172">
        <f>ROUND(SUM(H40:H42),5)</f>
        <v>769.66</v>
      </c>
      <c r="I43" s="172">
        <f>ROUND(SUM(I40:I42),5)</f>
        <v>715.41</v>
      </c>
      <c r="J43" s="172">
        <f t="shared" ref="J43" si="4">ROUND((H43-I43),5)</f>
        <v>54.25</v>
      </c>
      <c r="K43" s="136">
        <f t="shared" ref="K43" si="5">ROUND(IF(H43=0, IF(I43=0, 0, SIGN(-I43)), IF(I43=0, SIGN(H43), (H43-I43)/ABS(I43))),5)</f>
        <v>7.5829999999999995E-2</v>
      </c>
    </row>
    <row r="44" spans="1:11" x14ac:dyDescent="0.25">
      <c r="A44" s="163"/>
      <c r="B44" s="163"/>
      <c r="C44" s="163"/>
      <c r="D44" s="163"/>
      <c r="E44" s="163"/>
      <c r="F44" s="163" t="s">
        <v>28</v>
      </c>
      <c r="G44" s="163"/>
      <c r="H44" s="172">
        <v>0</v>
      </c>
      <c r="I44" s="172">
        <v>838.91</v>
      </c>
      <c r="J44" s="172">
        <f>ROUND((H44-I44),5)</f>
        <v>-838.91</v>
      </c>
      <c r="K44" s="136">
        <f>ROUND(IF(H44=0, IF(I44=0, 0, SIGN(-I44)), IF(I44=0, SIGN(H44), (H44-I44)/ABS(I44))),5)</f>
        <v>-1</v>
      </c>
    </row>
    <row r="45" spans="1:11" x14ac:dyDescent="0.25">
      <c r="A45" s="163"/>
      <c r="B45" s="163"/>
      <c r="C45" s="163"/>
      <c r="D45" s="163"/>
      <c r="E45" s="163"/>
      <c r="F45" s="163" t="s">
        <v>7714</v>
      </c>
      <c r="G45" s="163"/>
      <c r="H45" s="172">
        <v>0</v>
      </c>
      <c r="I45" s="172">
        <v>242.6</v>
      </c>
      <c r="J45" s="172">
        <f>ROUND((H45-I45),5)</f>
        <v>-242.6</v>
      </c>
      <c r="K45" s="136">
        <f>ROUND(IF(H45=0, IF(I45=0, 0, SIGN(-I45)), IF(I45=0, SIGN(H45), (H45-I45)/ABS(I45))),5)</f>
        <v>-1</v>
      </c>
    </row>
    <row r="46" spans="1:11" x14ac:dyDescent="0.25">
      <c r="A46" s="163"/>
      <c r="B46" s="163"/>
      <c r="C46" s="163"/>
      <c r="D46" s="163"/>
      <c r="E46" s="163"/>
      <c r="F46" s="163" t="s">
        <v>29</v>
      </c>
      <c r="G46" s="163"/>
      <c r="H46" s="172"/>
      <c r="I46" s="172"/>
      <c r="J46" s="172"/>
      <c r="K46" s="136"/>
    </row>
    <row r="47" spans="1:11" x14ac:dyDescent="0.25">
      <c r="A47" s="163"/>
      <c r="B47" s="163"/>
      <c r="C47" s="163"/>
      <c r="D47" s="163"/>
      <c r="E47" s="163"/>
      <c r="F47" s="163"/>
      <c r="G47" s="184" t="s">
        <v>30</v>
      </c>
      <c r="H47" s="172">
        <v>2939.48</v>
      </c>
      <c r="I47" s="172">
        <v>67.44</v>
      </c>
      <c r="J47" s="172">
        <f t="shared" ref="J47:J49" si="6">ROUND((H47-I47),5)</f>
        <v>2872.04</v>
      </c>
      <c r="K47" s="136">
        <f t="shared" ref="K47:K49" si="7">ROUND(IF(H47=0, IF(I47=0, 0, SIGN(-I47)), IF(I47=0, SIGN(H47), (H47-I47)/ABS(I47))),5)</f>
        <v>42.586599999999997</v>
      </c>
    </row>
    <row r="48" spans="1:11" x14ac:dyDescent="0.25">
      <c r="A48" s="163"/>
      <c r="B48" s="163"/>
      <c r="C48" s="163"/>
      <c r="D48" s="163"/>
      <c r="E48" s="163"/>
      <c r="F48" s="163"/>
      <c r="G48" s="184" t="s">
        <v>7467</v>
      </c>
      <c r="H48" s="172">
        <v>-25.4</v>
      </c>
      <c r="I48" s="172">
        <v>20</v>
      </c>
      <c r="J48" s="172">
        <f t="shared" si="6"/>
        <v>-45.4</v>
      </c>
      <c r="K48" s="136">
        <f t="shared" si="7"/>
        <v>-2.27</v>
      </c>
    </row>
    <row r="49" spans="1:11" ht="15.75" thickBot="1" x14ac:dyDescent="0.3">
      <c r="A49" s="163"/>
      <c r="B49" s="163"/>
      <c r="C49" s="163"/>
      <c r="D49" s="163"/>
      <c r="E49" s="163"/>
      <c r="F49" s="163"/>
      <c r="G49" s="184" t="s">
        <v>7713</v>
      </c>
      <c r="H49" s="176">
        <v>0</v>
      </c>
      <c r="I49" s="176">
        <v>2121.14</v>
      </c>
      <c r="J49" s="176">
        <f t="shared" si="6"/>
        <v>-2121.14</v>
      </c>
      <c r="K49" s="138">
        <f t="shared" si="7"/>
        <v>-1</v>
      </c>
    </row>
    <row r="50" spans="1:11" ht="15.75" thickBot="1" x14ac:dyDescent="0.3">
      <c r="A50" s="163"/>
      <c r="B50" s="163"/>
      <c r="C50" s="163"/>
      <c r="D50" s="163"/>
      <c r="E50" s="163"/>
      <c r="F50" s="163" t="s">
        <v>31</v>
      </c>
      <c r="G50" s="163"/>
      <c r="H50" s="176">
        <f>ROUND(SUM(H46:H49),5)</f>
        <v>2914.08</v>
      </c>
      <c r="I50" s="176">
        <f>ROUND(SUM(I46:I49),5)</f>
        <v>2208.58</v>
      </c>
      <c r="J50" s="176">
        <f t="shared" ref="J50:J54" si="8">ROUND((H50-I50),5)</f>
        <v>705.5</v>
      </c>
      <c r="K50" s="138">
        <f t="shared" ref="K50:K54" si="9">ROUND(IF(H50=0, IF(I50=0, 0, SIGN(-I50)), IF(I50=0, SIGN(H50), (H50-I50)/ABS(I50))),5)</f>
        <v>0.31944</v>
      </c>
    </row>
    <row r="51" spans="1:11" x14ac:dyDescent="0.25">
      <c r="A51" s="163"/>
      <c r="B51" s="163"/>
      <c r="C51" s="163"/>
      <c r="D51" s="163"/>
      <c r="E51" s="163" t="s">
        <v>32</v>
      </c>
      <c r="F51" s="163"/>
      <c r="G51" s="163"/>
      <c r="H51" s="172">
        <f>ROUND(SUM(H33:H39)+SUM(H43:H45)+SUM(H50:H50),5)</f>
        <v>28717.55</v>
      </c>
      <c r="I51" s="172">
        <f>ROUND(SUM(I33:I39)+SUM(I43:I45)+SUM(I50:I50),5)</f>
        <v>6481.33</v>
      </c>
      <c r="J51" s="172">
        <f t="shared" si="8"/>
        <v>22236.22</v>
      </c>
      <c r="K51" s="136">
        <f t="shared" si="9"/>
        <v>3.4308100000000001</v>
      </c>
    </row>
    <row r="52" spans="1:11" x14ac:dyDescent="0.25">
      <c r="A52" s="163"/>
      <c r="B52" s="163"/>
      <c r="C52" s="163"/>
      <c r="D52" s="163"/>
      <c r="E52" s="184" t="s">
        <v>33</v>
      </c>
      <c r="F52" s="184"/>
      <c r="G52" s="184"/>
      <c r="H52" s="172">
        <v>27291.13</v>
      </c>
      <c r="I52" s="172">
        <v>27495.98</v>
      </c>
      <c r="J52" s="172">
        <f t="shared" si="8"/>
        <v>-204.85</v>
      </c>
      <c r="K52" s="136">
        <f t="shared" si="9"/>
        <v>-7.45E-3</v>
      </c>
    </row>
    <row r="53" spans="1:11" s="183" customFormat="1" x14ac:dyDescent="0.25">
      <c r="A53" s="184"/>
      <c r="B53" s="184"/>
      <c r="C53" s="184"/>
      <c r="D53" s="184"/>
      <c r="E53" s="184" t="s">
        <v>7465</v>
      </c>
      <c r="F53" s="184"/>
      <c r="G53" s="184"/>
      <c r="H53" s="172">
        <v>316.39999999999998</v>
      </c>
      <c r="I53" s="172">
        <v>0</v>
      </c>
      <c r="J53" s="172">
        <f t="shared" si="8"/>
        <v>316.39999999999998</v>
      </c>
      <c r="K53" s="136">
        <f t="shared" si="9"/>
        <v>1</v>
      </c>
    </row>
    <row r="54" spans="1:11" s="183" customFormat="1" x14ac:dyDescent="0.25">
      <c r="A54" s="184"/>
      <c r="B54" s="184"/>
      <c r="C54" s="184"/>
      <c r="D54" s="184"/>
      <c r="E54" s="184" t="s">
        <v>7696</v>
      </c>
      <c r="F54" s="184"/>
      <c r="G54" s="184"/>
      <c r="H54" s="172">
        <v>0</v>
      </c>
      <c r="I54" s="172">
        <v>5</v>
      </c>
      <c r="J54" s="172">
        <f t="shared" si="8"/>
        <v>-5</v>
      </c>
      <c r="K54" s="136">
        <f t="shared" si="9"/>
        <v>-1</v>
      </c>
    </row>
    <row r="55" spans="1:11" s="183" customFormat="1" x14ac:dyDescent="0.25">
      <c r="A55" s="184"/>
      <c r="B55" s="184"/>
      <c r="C55" s="184"/>
      <c r="D55" s="184"/>
      <c r="E55" s="184" t="s">
        <v>36</v>
      </c>
      <c r="F55" s="184"/>
      <c r="G55" s="184"/>
      <c r="H55" s="172"/>
      <c r="I55" s="172"/>
      <c r="J55" s="172"/>
      <c r="K55" s="136"/>
    </row>
    <row r="56" spans="1:11" s="183" customFormat="1" x14ac:dyDescent="0.25">
      <c r="A56" s="184"/>
      <c r="B56" s="184"/>
      <c r="C56" s="184"/>
      <c r="D56" s="184"/>
      <c r="E56" s="184"/>
      <c r="F56" s="184" t="s">
        <v>1611</v>
      </c>
      <c r="G56" s="184"/>
      <c r="H56" s="172">
        <v>3665.63</v>
      </c>
      <c r="I56" s="172">
        <v>0</v>
      </c>
      <c r="J56" s="172">
        <f>ROUND((H56-I56),5)</f>
        <v>3665.63</v>
      </c>
      <c r="K56" s="136">
        <f>ROUND(IF(H56=0, IF(I56=0, 0, SIGN(-I56)), IF(I56=0, SIGN(H56), (H56-I56)/ABS(I56))),5)</f>
        <v>1</v>
      </c>
    </row>
    <row r="57" spans="1:11" s="183" customFormat="1" ht="15.75" thickBot="1" x14ac:dyDescent="0.3">
      <c r="A57" s="184"/>
      <c r="B57" s="184"/>
      <c r="C57" s="184"/>
      <c r="D57" s="184"/>
      <c r="E57" s="184"/>
      <c r="F57" s="184" t="s">
        <v>37</v>
      </c>
      <c r="G57" s="184"/>
      <c r="H57" s="176">
        <v>828.93</v>
      </c>
      <c r="I57" s="176">
        <v>0</v>
      </c>
      <c r="J57" s="176">
        <f>ROUND((H57-I57),5)</f>
        <v>828.93</v>
      </c>
      <c r="K57" s="138">
        <f>ROUND(IF(H57=0, IF(I57=0, 0, SIGN(-I57)), IF(I57=0, SIGN(H57), (H57-I57)/ABS(I57))),5)</f>
        <v>1</v>
      </c>
    </row>
    <row r="58" spans="1:11" s="183" customFormat="1" x14ac:dyDescent="0.25">
      <c r="A58" s="184"/>
      <c r="B58" s="184"/>
      <c r="C58" s="184"/>
      <c r="D58" s="184"/>
      <c r="E58" s="184" t="s">
        <v>38</v>
      </c>
      <c r="F58" s="184"/>
      <c r="G58" s="184"/>
      <c r="H58" s="172">
        <f>ROUND(SUM(H55:H57),5)</f>
        <v>4494.5600000000004</v>
      </c>
      <c r="I58" s="172">
        <f>ROUND(SUM(I55:I57),5)</f>
        <v>0</v>
      </c>
      <c r="J58" s="172">
        <f>ROUND((H58-I58),5)</f>
        <v>4494.5600000000004</v>
      </c>
      <c r="K58" s="136">
        <f>ROUND(IF(H58=0, IF(I58=0, 0, SIGN(-I58)), IF(I58=0, SIGN(H58), (H58-I58)/ABS(I58))),5)</f>
        <v>1</v>
      </c>
    </row>
    <row r="59" spans="1:11" x14ac:dyDescent="0.25">
      <c r="A59" s="163"/>
      <c r="B59" s="163"/>
      <c r="C59" s="163"/>
      <c r="D59" s="163"/>
      <c r="E59" s="163" t="s">
        <v>39</v>
      </c>
      <c r="F59" s="163"/>
      <c r="G59" s="163"/>
      <c r="H59" s="172"/>
      <c r="I59" s="172"/>
      <c r="J59" s="172"/>
      <c r="K59" s="136"/>
    </row>
    <row r="60" spans="1:11" x14ac:dyDescent="0.25">
      <c r="A60" s="163"/>
      <c r="B60" s="163"/>
      <c r="C60" s="163"/>
      <c r="D60" s="163"/>
      <c r="E60" s="163"/>
      <c r="F60" s="163" t="s">
        <v>40</v>
      </c>
      <c r="G60" s="163"/>
      <c r="H60" s="172">
        <v>49629.66</v>
      </c>
      <c r="I60" s="172">
        <v>45577.31</v>
      </c>
      <c r="J60" s="172">
        <f>ROUND((H60-I60),5)</f>
        <v>4052.35</v>
      </c>
      <c r="K60" s="136">
        <f>ROUND(IF(H60=0, IF(I60=0, 0, SIGN(-I60)), IF(I60=0, SIGN(H60), (H60-I60)/ABS(I60))),5)</f>
        <v>8.8910000000000003E-2</v>
      </c>
    </row>
    <row r="61" spans="1:11" x14ac:dyDescent="0.25">
      <c r="A61" s="163"/>
      <c r="B61" s="163"/>
      <c r="C61" s="163"/>
      <c r="D61" s="163"/>
      <c r="E61" s="163"/>
      <c r="F61" s="163" t="s">
        <v>7813</v>
      </c>
      <c r="G61" s="163"/>
      <c r="H61" s="172">
        <v>10668.11</v>
      </c>
      <c r="I61" s="172">
        <v>17690.86</v>
      </c>
      <c r="J61" s="172">
        <f>ROUND((H61-I61),5)</f>
        <v>-7022.75</v>
      </c>
      <c r="K61" s="136">
        <f>ROUND(IF(H61=0, IF(I61=0, 0, SIGN(-I61)), IF(I61=0, SIGN(H61), (H61-I61)/ABS(I61))),5)</f>
        <v>-0.39696999999999999</v>
      </c>
    </row>
    <row r="62" spans="1:11" ht="15.75" thickBot="1" x14ac:dyDescent="0.3">
      <c r="A62" s="163"/>
      <c r="B62" s="163"/>
      <c r="C62" s="163"/>
      <c r="D62" s="163"/>
      <c r="E62" s="163"/>
      <c r="F62" s="163" t="s">
        <v>7814</v>
      </c>
      <c r="G62" s="163"/>
      <c r="H62" s="176">
        <v>6241.24</v>
      </c>
      <c r="I62" s="176">
        <v>0</v>
      </c>
      <c r="J62" s="176">
        <f>ROUND((H62-I62),5)</f>
        <v>6241.24</v>
      </c>
      <c r="K62" s="138">
        <f>ROUND(IF(H62=0, IF(I62=0, 0, SIGN(-I62)), IF(I62=0, SIGN(H62), (H62-I62)/ABS(I62))),5)</f>
        <v>1</v>
      </c>
    </row>
    <row r="63" spans="1:11" x14ac:dyDescent="0.25">
      <c r="A63" s="163"/>
      <c r="B63" s="163"/>
      <c r="C63" s="163"/>
      <c r="D63" s="163"/>
      <c r="E63" s="163" t="s">
        <v>42</v>
      </c>
      <c r="F63" s="163"/>
      <c r="G63" s="163"/>
      <c r="H63" s="172">
        <f>ROUND(SUM(H59:H62),5)</f>
        <v>66539.009999999995</v>
      </c>
      <c r="I63" s="172">
        <f>ROUND(SUM(I59:I62),5)</f>
        <v>63268.17</v>
      </c>
      <c r="J63" s="172">
        <f>ROUND((H63-I63),5)</f>
        <v>3270.84</v>
      </c>
      <c r="K63" s="136">
        <f>ROUND(IF(H63=0, IF(I63=0, 0, SIGN(-I63)), IF(I63=0, SIGN(H63), (H63-I63)/ABS(I63))),5)</f>
        <v>5.1700000000000003E-2</v>
      </c>
    </row>
    <row r="64" spans="1:11" x14ac:dyDescent="0.25">
      <c r="A64" s="163"/>
      <c r="B64" s="163"/>
      <c r="C64" s="163"/>
      <c r="D64" s="163"/>
      <c r="E64" s="163" t="s">
        <v>43</v>
      </c>
      <c r="F64" s="163"/>
      <c r="G64" s="163"/>
      <c r="H64" s="172"/>
      <c r="I64" s="172"/>
      <c r="J64" s="172"/>
      <c r="K64" s="136"/>
    </row>
    <row r="65" spans="1:17" s="183" customFormat="1" x14ac:dyDescent="0.25">
      <c r="A65" s="184"/>
      <c r="B65" s="184"/>
      <c r="C65" s="184"/>
      <c r="D65" s="184"/>
      <c r="E65" s="184"/>
      <c r="F65" s="184" t="s">
        <v>7712</v>
      </c>
      <c r="G65" s="184"/>
      <c r="H65" s="172">
        <v>0</v>
      </c>
      <c r="I65" s="172">
        <v>575</v>
      </c>
      <c r="J65" s="172">
        <f t="shared" ref="J65:J68" si="10">ROUND((H65-I65),5)</f>
        <v>-575</v>
      </c>
      <c r="K65" s="136">
        <f t="shared" ref="K65:K68" si="11">ROUND(IF(H65=0, IF(I65=0, 0, SIGN(-I65)), IF(I65=0, SIGN(H65), (H65-I65)/ABS(I65))),5)</f>
        <v>-1</v>
      </c>
    </row>
    <row r="66" spans="1:17" x14ac:dyDescent="0.25">
      <c r="A66" s="163"/>
      <c r="B66" s="163"/>
      <c r="C66" s="163"/>
      <c r="D66" s="163"/>
      <c r="E66" s="163"/>
      <c r="F66" s="163" t="s">
        <v>7437</v>
      </c>
      <c r="G66" s="163"/>
      <c r="H66" s="172">
        <v>7.17</v>
      </c>
      <c r="I66" s="172">
        <v>0</v>
      </c>
      <c r="J66" s="172">
        <f t="shared" si="10"/>
        <v>7.17</v>
      </c>
      <c r="K66" s="136">
        <f t="shared" si="11"/>
        <v>1</v>
      </c>
      <c r="N66" s="183" t="s">
        <v>7795</v>
      </c>
      <c r="O66" s="183"/>
      <c r="P66" s="58">
        <v>0.22231677883718848</v>
      </c>
      <c r="Q66" s="161">
        <f>$H$63*P66</f>
        <v>14792.738370215471</v>
      </c>
    </row>
    <row r="67" spans="1:17" x14ac:dyDescent="0.25">
      <c r="A67" s="163"/>
      <c r="B67" s="163"/>
      <c r="C67" s="163"/>
      <c r="D67" s="163"/>
      <c r="E67" s="163"/>
      <c r="F67" s="163" t="s">
        <v>7438</v>
      </c>
      <c r="G67" s="163"/>
      <c r="H67" s="172">
        <v>2018.19</v>
      </c>
      <c r="I67" s="172">
        <v>0</v>
      </c>
      <c r="J67" s="172">
        <f t="shared" si="10"/>
        <v>2018.19</v>
      </c>
      <c r="K67" s="136">
        <f t="shared" si="11"/>
        <v>1</v>
      </c>
      <c r="N67" s="183" t="s">
        <v>7460</v>
      </c>
      <c r="O67" s="183"/>
      <c r="P67" s="58">
        <v>0.22384322220756409</v>
      </c>
      <c r="Q67" s="161">
        <f>$H$63*P67</f>
        <v>14894.306400901327</v>
      </c>
    </row>
    <row r="68" spans="1:17" ht="15.75" thickBot="1" x14ac:dyDescent="0.3">
      <c r="A68" s="163"/>
      <c r="B68" s="163"/>
      <c r="C68" s="163"/>
      <c r="D68" s="163"/>
      <c r="E68" s="163"/>
      <c r="F68" s="163" t="s">
        <v>44</v>
      </c>
      <c r="G68" s="163"/>
      <c r="H68" s="176">
        <v>0</v>
      </c>
      <c r="I68" s="176">
        <v>9000</v>
      </c>
      <c r="J68" s="176">
        <f t="shared" si="10"/>
        <v>-9000</v>
      </c>
      <c r="K68" s="138">
        <f t="shared" si="11"/>
        <v>-1</v>
      </c>
      <c r="N68" s="183" t="s">
        <v>232</v>
      </c>
      <c r="O68" s="183"/>
      <c r="P68" s="58">
        <v>9.865101792954134E-2</v>
      </c>
      <c r="Q68" s="161">
        <f>$H$63*P68</f>
        <v>6564.1410685239298</v>
      </c>
    </row>
    <row r="69" spans="1:17" x14ac:dyDescent="0.25">
      <c r="A69" s="163"/>
      <c r="B69" s="163"/>
      <c r="C69" s="163"/>
      <c r="D69" s="163"/>
      <c r="E69" s="163" t="s">
        <v>45</v>
      </c>
      <c r="F69" s="163"/>
      <c r="G69" s="163"/>
      <c r="H69" s="172">
        <f>ROUND(SUM(H64:H68),5)</f>
        <v>2025.36</v>
      </c>
      <c r="I69" s="172">
        <f>ROUND(SUM(I64:I68),5)</f>
        <v>9575</v>
      </c>
      <c r="J69" s="172">
        <f>ROUND((H69-I69),5)</f>
        <v>-7549.64</v>
      </c>
      <c r="K69" s="136">
        <f>ROUND(IF(H69=0, IF(I69=0, 0, SIGN(-I69)), IF(I69=0, SIGN(H69), (H69-I69)/ABS(I69))),5)</f>
        <v>-0.78847</v>
      </c>
      <c r="N69" s="183" t="s">
        <v>7462</v>
      </c>
      <c r="O69" s="183"/>
      <c r="P69" s="58">
        <v>8.1190914499728761E-2</v>
      </c>
      <c r="Q69" s="161">
        <f>$H$63*P69</f>
        <v>5402.363071806597</v>
      </c>
    </row>
    <row r="70" spans="1:17" ht="15.75" thickBot="1" x14ac:dyDescent="0.3">
      <c r="A70" s="163"/>
      <c r="B70" s="163"/>
      <c r="C70" s="163"/>
      <c r="D70" s="163"/>
      <c r="E70" s="184" t="s">
        <v>46</v>
      </c>
      <c r="F70" s="184"/>
      <c r="G70" s="184"/>
      <c r="H70" s="172">
        <v>622.22</v>
      </c>
      <c r="I70" s="172">
        <v>240.61</v>
      </c>
      <c r="J70" s="172">
        <f t="shared" ref="J70" si="12">ROUND((H70-I70),5)</f>
        <v>381.61</v>
      </c>
      <c r="K70" s="136">
        <f t="shared" ref="K70" si="13">ROUND(IF(H70=0, IF(I70=0, 0, SIGN(-I70)), IF(I70=0, SIGN(H70), (H70-I70)/ABS(I70))),5)</f>
        <v>1.5860099999999999</v>
      </c>
      <c r="N70" s="183" t="s">
        <v>231</v>
      </c>
      <c r="O70" s="183"/>
      <c r="P70" s="58">
        <v>5.5607492361867197E-2</v>
      </c>
      <c r="Q70" s="161">
        <f>$H$63*P70</f>
        <v>3700.0674903412046</v>
      </c>
    </row>
    <row r="71" spans="1:17" ht="15.75" thickBot="1" x14ac:dyDescent="0.3">
      <c r="A71" s="163"/>
      <c r="B71" s="163"/>
      <c r="C71" s="163"/>
      <c r="D71" s="163" t="s">
        <v>47</v>
      </c>
      <c r="E71" s="163"/>
      <c r="F71" s="163"/>
      <c r="G71" s="163"/>
      <c r="H71" s="180">
        <f>ROUND(H32+SUM(H51:H54)+H58+H63+SUM(H69:H70),5)</f>
        <v>135858.53</v>
      </c>
      <c r="I71" s="180">
        <f>ROUND(I32+SUM(I51:I54)+I58+I63+SUM(I69:I70),5)</f>
        <v>109928.09</v>
      </c>
      <c r="J71" s="180">
        <f t="shared" ref="J71:J73" si="14">ROUND((H71-I71),5)</f>
        <v>25930.44</v>
      </c>
      <c r="K71" s="135">
        <f t="shared" ref="K71:K73" si="15">ROUND(IF(H71=0, IF(I71=0, 0, SIGN(-I71)), IF(I71=0, SIGN(H71), (H71-I71)/ABS(I71))),5)</f>
        <v>0.23588999999999999</v>
      </c>
      <c r="N71" s="183"/>
      <c r="O71" s="183"/>
      <c r="P71" s="58"/>
      <c r="Q71" s="161"/>
    </row>
    <row r="72" spans="1:17" ht="15.75" thickBot="1" x14ac:dyDescent="0.3">
      <c r="A72" s="163"/>
      <c r="B72" s="163" t="s">
        <v>48</v>
      </c>
      <c r="C72" s="163"/>
      <c r="D72" s="163"/>
      <c r="E72" s="163"/>
      <c r="F72" s="163"/>
      <c r="G72" s="163"/>
      <c r="H72" s="180">
        <f>ROUND(H27-H71,5)</f>
        <v>85243.36</v>
      </c>
      <c r="I72" s="180">
        <f>ROUND(I3+I27-I71,5)</f>
        <v>-6971.94</v>
      </c>
      <c r="J72" s="180">
        <f t="shared" si="14"/>
        <v>92215.3</v>
      </c>
      <c r="K72" s="135">
        <f t="shared" si="15"/>
        <v>13.22663</v>
      </c>
      <c r="N72" s="183" t="s">
        <v>7463</v>
      </c>
      <c r="O72" s="183"/>
      <c r="P72" s="58">
        <v>6.75906395225154E-2</v>
      </c>
      <c r="Q72" s="161">
        <f>$H$63*P72</f>
        <v>4497.4142390950474</v>
      </c>
    </row>
    <row r="73" spans="1:17" s="2" customFormat="1" ht="15.75" thickBot="1" x14ac:dyDescent="0.3">
      <c r="A73" s="163" t="s">
        <v>49</v>
      </c>
      <c r="B73" s="163"/>
      <c r="C73" s="163"/>
      <c r="D73" s="163"/>
      <c r="E73" s="163"/>
      <c r="F73" s="163"/>
      <c r="G73" s="163"/>
      <c r="H73" s="174">
        <f>H72</f>
        <v>85243.36</v>
      </c>
      <c r="I73" s="174">
        <f>I72</f>
        <v>-6971.94</v>
      </c>
      <c r="J73" s="174">
        <f t="shared" si="14"/>
        <v>92215.3</v>
      </c>
      <c r="K73" s="134">
        <f t="shared" si="15"/>
        <v>13.22663</v>
      </c>
      <c r="N73" s="183" t="s">
        <v>7439</v>
      </c>
      <c r="O73" s="183"/>
      <c r="P73" s="58">
        <v>0.16651261284579766</v>
      </c>
      <c r="Q73" s="161">
        <f>$H$63*P73</f>
        <v>11079.584411272657</v>
      </c>
    </row>
    <row r="74" spans="1:17" ht="15.75" thickTop="1" x14ac:dyDescent="0.25">
      <c r="N74" s="183" t="s">
        <v>201</v>
      </c>
      <c r="O74" s="183"/>
      <c r="P74" s="58">
        <v>8.4287321795797204E-2</v>
      </c>
      <c r="Q74" s="161">
        <f>$H$63*P74</f>
        <v>5608.394947843768</v>
      </c>
    </row>
    <row r="75" spans="1:17" x14ac:dyDescent="0.25">
      <c r="Q75" s="43">
        <f>SUM(Q66:Q74)</f>
        <v>66539.009999999995</v>
      </c>
    </row>
    <row r="76" spans="1:17" x14ac:dyDescent="0.25">
      <c r="Q76" s="88">
        <f>Q75-H63</f>
        <v>0</v>
      </c>
    </row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22:I23 H25:I25 H32:I33 H40:I40 H43:I43 H46:I46 H50:I51 H58:I59 H69:I69 H63:I64 H73:I74 I72 H28:I29 I27" formulaRange="1"/>
  </ignoredErrors>
  <drawing r:id="rId2"/>
  <legacyDrawing r:id="rId3"/>
  <controls>
    <mc:AlternateContent xmlns:mc="http://schemas.openxmlformats.org/markup-compatibility/2006">
      <mc:Choice Requires="x14">
        <control shapeId="1146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89" r:id="rId4" name="FILTER"/>
      </mc:Fallback>
    </mc:AlternateContent>
    <mc:AlternateContent xmlns:mc="http://schemas.openxmlformats.org/markup-compatibility/2006">
      <mc:Choice Requires="x14">
        <control shapeId="1146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90" r:id="rId6" name="HEAD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03F1-E629-4C77-8E8C-F0729B91467C}">
  <sheetPr codeName="Sheet8"/>
  <dimension ref="A1:S115"/>
  <sheetViews>
    <sheetView zoomScale="120" zoomScaleNormal="120" workbookViewId="0">
      <pane xSplit="8" ySplit="2" topLeftCell="I3" activePane="bottomRight" state="frozenSplit"/>
      <selection pane="topRight" activeCell="I1" sqref="I1"/>
      <selection pane="bottomLeft" activeCell="A3" sqref="A3"/>
      <selection pane="bottomRight" activeCell="N2" sqref="N2"/>
    </sheetView>
  </sheetViews>
  <sheetFormatPr defaultColWidth="8.7109375" defaultRowHeight="15" x14ac:dyDescent="0.25"/>
  <cols>
    <col min="1" max="7" width="2.85546875" style="2" customWidth="1"/>
    <col min="8" max="8" width="26.140625" style="2" customWidth="1"/>
    <col min="9" max="11" width="10.7109375" style="175" customWidth="1"/>
    <col min="12" max="12" width="11.85546875" style="162" customWidth="1"/>
    <col min="13" max="13" width="8.7109375" style="162"/>
    <col min="14" max="14" width="10.85546875" style="162" bestFit="1" customWidth="1"/>
    <col min="15" max="15" width="9.85546875" style="162" bestFit="1" customWidth="1"/>
    <col min="16" max="16" width="11.28515625" style="162" bestFit="1" customWidth="1"/>
    <col min="17" max="18" width="8.7109375" style="162"/>
    <col min="19" max="19" width="10.28515625" style="162" bestFit="1" customWidth="1"/>
    <col min="20" max="16384" width="8.7109375" style="162"/>
  </cols>
  <sheetData>
    <row r="1" spans="1:14" ht="15.75" thickBot="1" x14ac:dyDescent="0.3">
      <c r="A1" s="163"/>
      <c r="B1" s="163"/>
      <c r="C1" s="163"/>
      <c r="D1" s="163"/>
      <c r="E1" s="163"/>
      <c r="F1" s="163"/>
      <c r="G1" s="163"/>
      <c r="H1" s="163"/>
      <c r="I1" s="179"/>
      <c r="J1" s="179"/>
      <c r="K1" s="179"/>
      <c r="L1" s="100"/>
    </row>
    <row r="2" spans="1:14" s="3" customFormat="1" ht="16.5" thickTop="1" thickBot="1" x14ac:dyDescent="0.3">
      <c r="A2" s="164"/>
      <c r="B2" s="164"/>
      <c r="C2" s="164"/>
      <c r="D2" s="164"/>
      <c r="E2" s="164"/>
      <c r="F2" s="164"/>
      <c r="G2" s="164"/>
      <c r="H2" s="164"/>
      <c r="I2" s="178" t="s">
        <v>7863</v>
      </c>
      <c r="J2" s="178" t="s">
        <v>7868</v>
      </c>
      <c r="K2" s="178" t="s">
        <v>7736</v>
      </c>
      <c r="L2" s="99" t="s">
        <v>7735</v>
      </c>
      <c r="N2" s="39" t="s">
        <v>224</v>
      </c>
    </row>
    <row r="3" spans="1:14" ht="15.75" thickTop="1" x14ac:dyDescent="0.25">
      <c r="A3" s="163"/>
      <c r="B3" s="163" t="s">
        <v>3</v>
      </c>
      <c r="C3" s="163"/>
      <c r="D3" s="163"/>
      <c r="E3" s="163"/>
      <c r="F3" s="163"/>
      <c r="G3" s="163"/>
      <c r="H3" s="163"/>
      <c r="I3" s="172"/>
      <c r="J3" s="172"/>
      <c r="K3" s="172"/>
      <c r="L3" s="136"/>
    </row>
    <row r="4" spans="1:14" x14ac:dyDescent="0.25">
      <c r="A4" s="163"/>
      <c r="B4" s="163"/>
      <c r="C4" s="163"/>
      <c r="D4" s="163" t="s">
        <v>4</v>
      </c>
      <c r="E4" s="163"/>
      <c r="F4" s="163"/>
      <c r="G4" s="163"/>
      <c r="H4" s="163"/>
      <c r="I4" s="172"/>
      <c r="J4" s="172"/>
      <c r="K4" s="172"/>
      <c r="L4" s="136"/>
    </row>
    <row r="5" spans="1:14" x14ac:dyDescent="0.25">
      <c r="A5" s="163"/>
      <c r="B5" s="163"/>
      <c r="C5" s="163"/>
      <c r="D5" s="163"/>
      <c r="E5" s="163" t="s">
        <v>7820</v>
      </c>
      <c r="F5" s="163"/>
      <c r="G5" s="163"/>
      <c r="H5" s="163"/>
      <c r="I5" s="172">
        <v>1000</v>
      </c>
      <c r="J5" s="172">
        <v>0</v>
      </c>
      <c r="K5" s="172">
        <f>ROUND((I5-J5),5)</f>
        <v>1000</v>
      </c>
      <c r="L5" s="136">
        <f>ROUND(IF(I5=0, IF(J5=0, 0, SIGN(-J5)), IF(J5=0, SIGN(I5), (I5-J5)/ABS(J5))),5)</f>
        <v>1</v>
      </c>
    </row>
    <row r="6" spans="1:14" x14ac:dyDescent="0.25">
      <c r="A6" s="163"/>
      <c r="B6" s="163"/>
      <c r="C6" s="163"/>
      <c r="D6" s="163"/>
      <c r="E6" s="163" t="s">
        <v>7709</v>
      </c>
      <c r="F6" s="163"/>
      <c r="G6" s="163"/>
      <c r="H6" s="163"/>
      <c r="I6" s="172">
        <v>2.77</v>
      </c>
      <c r="J6" s="172">
        <v>1.85</v>
      </c>
      <c r="K6" s="172">
        <f>ROUND((I6-J6),5)</f>
        <v>0.92</v>
      </c>
      <c r="L6" s="136">
        <f>ROUND(IF(I6=0, IF(J6=0, 0, SIGN(-J6)), IF(J6=0, SIGN(I6), (I6-J6)/ABS(J6))),5)</f>
        <v>0.49730000000000002</v>
      </c>
    </row>
    <row r="7" spans="1:14" x14ac:dyDescent="0.25">
      <c r="A7" s="163"/>
      <c r="B7" s="163"/>
      <c r="C7" s="163"/>
      <c r="D7" s="163"/>
      <c r="E7" s="163" t="s">
        <v>7819</v>
      </c>
      <c r="F7" s="163"/>
      <c r="G7" s="163"/>
      <c r="H7" s="163"/>
      <c r="I7" s="172">
        <v>7500</v>
      </c>
      <c r="J7" s="172">
        <v>6000</v>
      </c>
      <c r="K7" s="172">
        <f>ROUND((I7-J7),5)</f>
        <v>1500</v>
      </c>
      <c r="L7" s="136">
        <f>ROUND(IF(I7=0, IF(J7=0, 0, SIGN(-J7)), IF(J7=0, SIGN(I7), (I7-J7)/ABS(J7))),5)</f>
        <v>0.25</v>
      </c>
    </row>
    <row r="8" spans="1:14" s="183" customFormat="1" x14ac:dyDescent="0.25">
      <c r="A8" s="184"/>
      <c r="B8" s="184"/>
      <c r="C8" s="184"/>
      <c r="D8" s="184"/>
      <c r="E8" s="184" t="s">
        <v>7869</v>
      </c>
      <c r="F8" s="184"/>
      <c r="G8" s="184"/>
      <c r="H8" s="184"/>
      <c r="I8" s="172"/>
      <c r="J8" s="172"/>
      <c r="K8" s="172"/>
      <c r="L8" s="136"/>
    </row>
    <row r="9" spans="1:14" s="183" customFormat="1" ht="15.75" thickBot="1" x14ac:dyDescent="0.3">
      <c r="A9" s="184"/>
      <c r="B9" s="184"/>
      <c r="C9" s="184"/>
      <c r="D9" s="184"/>
      <c r="E9" s="184"/>
      <c r="F9" s="184" t="s">
        <v>7870</v>
      </c>
      <c r="G9" s="184"/>
      <c r="H9" s="184"/>
      <c r="I9" s="176">
        <v>10000</v>
      </c>
      <c r="J9" s="176">
        <v>0</v>
      </c>
      <c r="K9" s="176">
        <f>ROUND((I9-J9),5)</f>
        <v>10000</v>
      </c>
      <c r="L9" s="138">
        <f>ROUND(IF(I9=0, IF(J9=0, 0, SIGN(-J9)), IF(J9=0, SIGN(I9), (I9-J9)/ABS(J9))),5)</f>
        <v>1</v>
      </c>
    </row>
    <row r="10" spans="1:14" s="183" customFormat="1" x14ac:dyDescent="0.25">
      <c r="A10" s="184"/>
      <c r="B10" s="184"/>
      <c r="C10" s="184"/>
      <c r="D10" s="184"/>
      <c r="E10" s="184" t="s">
        <v>7871</v>
      </c>
      <c r="F10" s="184"/>
      <c r="G10" s="184"/>
      <c r="H10" s="184"/>
      <c r="I10" s="172">
        <f>ROUND(SUM(I8:I9),5)</f>
        <v>10000</v>
      </c>
      <c r="J10" s="172">
        <f>ROUND(SUM(J8:J9),5)</f>
        <v>0</v>
      </c>
      <c r="K10" s="172">
        <f>ROUND((I10-J10),5)</f>
        <v>10000</v>
      </c>
      <c r="L10" s="136">
        <f>ROUND(IF(I10=0, IF(J10=0, 0, SIGN(-J10)), IF(J10=0, SIGN(I10), (I10-J10)/ABS(J10))),5)</f>
        <v>1</v>
      </c>
    </row>
    <row r="11" spans="1:14" x14ac:dyDescent="0.25">
      <c r="A11" s="163"/>
      <c r="B11" s="163"/>
      <c r="C11" s="163"/>
      <c r="D11" s="163"/>
      <c r="E11" s="163" t="s">
        <v>5</v>
      </c>
      <c r="F11" s="163"/>
      <c r="G11" s="163"/>
      <c r="H11" s="163"/>
      <c r="I11" s="172"/>
      <c r="J11" s="172"/>
      <c r="K11" s="172"/>
      <c r="L11" s="136"/>
    </row>
    <row r="12" spans="1:14" x14ac:dyDescent="0.25">
      <c r="A12" s="163"/>
      <c r="B12" s="163"/>
      <c r="C12" s="163"/>
      <c r="D12" s="163"/>
      <c r="E12" s="163"/>
      <c r="F12" s="163" t="s">
        <v>7811</v>
      </c>
      <c r="G12" s="163"/>
      <c r="H12" s="163"/>
      <c r="I12" s="172">
        <v>28635</v>
      </c>
      <c r="J12" s="172">
        <v>0</v>
      </c>
      <c r="K12" s="172">
        <f t="shared" ref="K12:K19" si="0">ROUND((I12-J12),5)</f>
        <v>28635</v>
      </c>
      <c r="L12" s="136">
        <f t="shared" ref="L12:L19" si="1">ROUND(IF(I12=0, IF(J12=0, 0, SIGN(-J12)), IF(J12=0, SIGN(I12), (I12-J12)/ABS(J12))),5)</f>
        <v>1</v>
      </c>
    </row>
    <row r="13" spans="1:14" s="183" customFormat="1" x14ac:dyDescent="0.25">
      <c r="A13" s="184"/>
      <c r="B13" s="184"/>
      <c r="C13" s="184"/>
      <c r="D13" s="184"/>
      <c r="E13" s="184"/>
      <c r="F13" s="184" t="s">
        <v>7872</v>
      </c>
      <c r="G13" s="184"/>
      <c r="H13" s="184"/>
      <c r="I13" s="172">
        <v>138405.5</v>
      </c>
      <c r="J13" s="172">
        <v>0</v>
      </c>
      <c r="K13" s="172">
        <f t="shared" si="0"/>
        <v>138405.5</v>
      </c>
      <c r="L13" s="136">
        <f t="shared" si="1"/>
        <v>1</v>
      </c>
    </row>
    <row r="14" spans="1:14" x14ac:dyDescent="0.25">
      <c r="A14" s="163"/>
      <c r="B14" s="163"/>
      <c r="C14" s="163"/>
      <c r="D14" s="163"/>
      <c r="E14" s="163"/>
      <c r="F14" s="163" t="s">
        <v>7853</v>
      </c>
      <c r="G14" s="163"/>
      <c r="H14" s="163"/>
      <c r="I14" s="172">
        <v>0</v>
      </c>
      <c r="J14" s="172">
        <v>223125</v>
      </c>
      <c r="K14" s="172">
        <f t="shared" si="0"/>
        <v>-223125</v>
      </c>
      <c r="L14" s="136">
        <f t="shared" si="1"/>
        <v>-1</v>
      </c>
    </row>
    <row r="15" spans="1:14" x14ac:dyDescent="0.25">
      <c r="A15" s="163"/>
      <c r="B15" s="163"/>
      <c r="C15" s="163"/>
      <c r="D15" s="163"/>
      <c r="E15" s="163"/>
      <c r="F15" s="163" t="s">
        <v>6</v>
      </c>
      <c r="G15" s="163"/>
      <c r="H15" s="163"/>
      <c r="I15" s="172">
        <v>0</v>
      </c>
      <c r="J15" s="172">
        <v>62600</v>
      </c>
      <c r="K15" s="172">
        <f t="shared" si="0"/>
        <v>-62600</v>
      </c>
      <c r="L15" s="136">
        <f t="shared" si="1"/>
        <v>-1</v>
      </c>
    </row>
    <row r="16" spans="1:14" x14ac:dyDescent="0.25">
      <c r="A16" s="163"/>
      <c r="B16" s="163"/>
      <c r="C16" s="163"/>
      <c r="D16" s="163"/>
      <c r="E16" s="163"/>
      <c r="F16" s="163" t="s">
        <v>7477</v>
      </c>
      <c r="G16" s="163"/>
      <c r="H16" s="163"/>
      <c r="I16" s="172">
        <v>316723.53000000003</v>
      </c>
      <c r="J16" s="172">
        <v>6000</v>
      </c>
      <c r="K16" s="172">
        <f t="shared" si="0"/>
        <v>310723.53000000003</v>
      </c>
      <c r="L16" s="136">
        <f t="shared" si="1"/>
        <v>51.787260000000003</v>
      </c>
    </row>
    <row r="17" spans="1:14" x14ac:dyDescent="0.25">
      <c r="A17" s="163"/>
      <c r="B17" s="163"/>
      <c r="C17" s="163"/>
      <c r="D17" s="163"/>
      <c r="E17" s="163"/>
      <c r="F17" s="163" t="s">
        <v>5224</v>
      </c>
      <c r="G17" s="163"/>
      <c r="H17" s="163"/>
      <c r="I17" s="172">
        <v>16125</v>
      </c>
      <c r="J17" s="172">
        <v>97896.88</v>
      </c>
      <c r="K17" s="172">
        <f t="shared" si="0"/>
        <v>-81771.88</v>
      </c>
      <c r="L17" s="136">
        <f t="shared" si="1"/>
        <v>-0.83528999999999998</v>
      </c>
    </row>
    <row r="18" spans="1:14" x14ac:dyDescent="0.25">
      <c r="A18" s="163"/>
      <c r="B18" s="163"/>
      <c r="C18" s="163"/>
      <c r="D18" s="163"/>
      <c r="E18" s="163"/>
      <c r="F18" s="163" t="s">
        <v>7</v>
      </c>
      <c r="G18" s="163"/>
      <c r="H18" s="163"/>
      <c r="I18" s="172">
        <v>88108.9</v>
      </c>
      <c r="J18" s="172">
        <v>68933.929999999993</v>
      </c>
      <c r="K18" s="172">
        <f t="shared" si="0"/>
        <v>19174.97</v>
      </c>
      <c r="L18" s="136">
        <f t="shared" si="1"/>
        <v>0.27816000000000002</v>
      </c>
    </row>
    <row r="19" spans="1:14" ht="15.75" thickBot="1" x14ac:dyDescent="0.3">
      <c r="A19" s="163"/>
      <c r="B19" s="163"/>
      <c r="C19" s="163"/>
      <c r="D19" s="163"/>
      <c r="E19" s="163"/>
      <c r="F19" s="163" t="s">
        <v>7805</v>
      </c>
      <c r="G19" s="163"/>
      <c r="H19" s="163"/>
      <c r="I19" s="176">
        <v>0</v>
      </c>
      <c r="J19" s="176">
        <v>9025</v>
      </c>
      <c r="K19" s="176">
        <f t="shared" si="0"/>
        <v>-9025</v>
      </c>
      <c r="L19" s="138">
        <f t="shared" si="1"/>
        <v>-1</v>
      </c>
    </row>
    <row r="20" spans="1:14" x14ac:dyDescent="0.25">
      <c r="A20" s="163"/>
      <c r="B20" s="163"/>
      <c r="C20" s="163"/>
      <c r="D20" s="163"/>
      <c r="E20" s="163" t="s">
        <v>8</v>
      </c>
      <c r="F20" s="163"/>
      <c r="G20" s="163"/>
      <c r="H20" s="163"/>
      <c r="I20" s="172">
        <f>ROUND(SUM(I12:I19),5)</f>
        <v>587997.93000000005</v>
      </c>
      <c r="J20" s="172">
        <f>ROUND(SUM(J12:J19),5)</f>
        <v>467580.81</v>
      </c>
      <c r="K20" s="172">
        <f>ROUND((I20-J20),5)</f>
        <v>120417.12</v>
      </c>
      <c r="L20" s="136">
        <f>ROUND(IF(I20=0, IF(J20=0, 0, SIGN(-J20)), IF(J20=0, SIGN(I20), (I20-J20)/ABS(J20))),5)</f>
        <v>0.25752999999999998</v>
      </c>
    </row>
    <row r="21" spans="1:14" x14ac:dyDescent="0.25">
      <c r="A21" s="163"/>
      <c r="B21" s="163"/>
      <c r="C21" s="163"/>
      <c r="D21" s="163"/>
      <c r="E21" s="163" t="s">
        <v>9</v>
      </c>
      <c r="F21" s="163"/>
      <c r="G21" s="163"/>
      <c r="H21" s="163"/>
      <c r="I21" s="172"/>
      <c r="J21" s="172"/>
      <c r="K21" s="172"/>
      <c r="L21" s="136"/>
    </row>
    <row r="22" spans="1:14" x14ac:dyDescent="0.25">
      <c r="A22" s="163"/>
      <c r="B22" s="163"/>
      <c r="C22" s="163"/>
      <c r="D22" s="163"/>
      <c r="E22" s="163"/>
      <c r="F22" s="163" t="s">
        <v>10</v>
      </c>
      <c r="G22" s="163"/>
      <c r="H22" s="163"/>
      <c r="I22" s="172">
        <v>458135.42</v>
      </c>
      <c r="J22" s="172">
        <v>102183.33</v>
      </c>
      <c r="K22" s="172">
        <f>ROUND((I22-J22),5)</f>
        <v>355952.09</v>
      </c>
      <c r="L22" s="136">
        <f>ROUND(IF(I22=0, IF(J22=0, 0, SIGN(-J22)), IF(J22=0, SIGN(I22), (I22-J22)/ABS(J22))),5)</f>
        <v>3.4834700000000001</v>
      </c>
    </row>
    <row r="23" spans="1:14" x14ac:dyDescent="0.25">
      <c r="A23" s="163"/>
      <c r="B23" s="163"/>
      <c r="C23" s="163"/>
      <c r="D23" s="163"/>
      <c r="E23" s="163"/>
      <c r="F23" s="163" t="s">
        <v>7794</v>
      </c>
      <c r="G23" s="163"/>
      <c r="H23" s="163"/>
      <c r="I23" s="172">
        <v>500</v>
      </c>
      <c r="J23" s="172">
        <v>0</v>
      </c>
      <c r="K23" s="172">
        <f>ROUND((I23-J23),5)</f>
        <v>500</v>
      </c>
      <c r="L23" s="136">
        <f>ROUND(IF(I23=0, IF(J23=0, 0, SIGN(-J23)), IF(J23=0, SIGN(I23), (I23-J23)/ABS(J23))),5)</f>
        <v>1</v>
      </c>
    </row>
    <row r="24" spans="1:14" ht="15.75" thickBot="1" x14ac:dyDescent="0.3">
      <c r="A24" s="163"/>
      <c r="B24" s="163"/>
      <c r="C24" s="163"/>
      <c r="D24" s="163"/>
      <c r="E24" s="163"/>
      <c r="F24" s="163" t="s">
        <v>11</v>
      </c>
      <c r="G24" s="163"/>
      <c r="H24" s="163"/>
      <c r="I24" s="176">
        <v>232973</v>
      </c>
      <c r="J24" s="176">
        <v>280174</v>
      </c>
      <c r="K24" s="176">
        <f>ROUND((I24-J24),5)</f>
        <v>-47201</v>
      </c>
      <c r="L24" s="138">
        <f>ROUND(IF(I24=0, IF(J24=0, 0, SIGN(-J24)), IF(J24=0, SIGN(I24), (I24-J24)/ABS(J24))),5)</f>
        <v>-0.16847000000000001</v>
      </c>
      <c r="M24" s="187"/>
      <c r="N24" s="181"/>
    </row>
    <row r="25" spans="1:14" x14ac:dyDescent="0.25">
      <c r="A25" s="163"/>
      <c r="B25" s="163"/>
      <c r="C25" s="163"/>
      <c r="D25" s="163"/>
      <c r="E25" s="163" t="s">
        <v>12</v>
      </c>
      <c r="F25" s="163"/>
      <c r="G25" s="163"/>
      <c r="H25" s="163"/>
      <c r="I25" s="172">
        <f>ROUND(SUM(I21:I24),5)</f>
        <v>691608.42</v>
      </c>
      <c r="J25" s="172">
        <f>ROUND(SUM(J21:J24),5)</f>
        <v>382357.33</v>
      </c>
      <c r="K25" s="172">
        <f>ROUND((I25-J25),5)</f>
        <v>309251.09000000003</v>
      </c>
      <c r="L25" s="136">
        <f>ROUND(IF(I25=0, IF(J25=0, 0, SIGN(-J25)), IF(J25=0, SIGN(I25), (I25-J25)/ABS(J25))),5)</f>
        <v>0.80879999999999996</v>
      </c>
    </row>
    <row r="26" spans="1:14" x14ac:dyDescent="0.25">
      <c r="A26" s="163"/>
      <c r="B26" s="163"/>
      <c r="C26" s="163"/>
      <c r="D26" s="163"/>
      <c r="E26" s="163" t="s">
        <v>7480</v>
      </c>
      <c r="F26" s="163"/>
      <c r="G26" s="163"/>
      <c r="H26" s="163"/>
      <c r="I26" s="172"/>
      <c r="J26" s="172"/>
      <c r="K26" s="172"/>
      <c r="L26" s="136"/>
    </row>
    <row r="27" spans="1:14" x14ac:dyDescent="0.25">
      <c r="A27" s="163"/>
      <c r="B27" s="163"/>
      <c r="C27" s="163"/>
      <c r="D27" s="163"/>
      <c r="E27" s="163"/>
      <c r="F27" s="163" t="s">
        <v>7479</v>
      </c>
      <c r="G27" s="163"/>
      <c r="H27" s="163"/>
      <c r="I27" s="172"/>
      <c r="J27" s="172"/>
      <c r="K27" s="172"/>
      <c r="L27" s="136"/>
    </row>
    <row r="28" spans="1:14" x14ac:dyDescent="0.25">
      <c r="A28" s="163"/>
      <c r="B28" s="163"/>
      <c r="C28" s="163"/>
      <c r="D28" s="163"/>
      <c r="E28" s="163"/>
      <c r="F28" s="163"/>
      <c r="G28" s="163" t="s">
        <v>7478</v>
      </c>
      <c r="H28" s="163"/>
      <c r="I28" s="172"/>
      <c r="J28" s="172"/>
      <c r="K28" s="172"/>
      <c r="L28" s="136"/>
    </row>
    <row r="29" spans="1:14" ht="15.75" thickBot="1" x14ac:dyDescent="0.3">
      <c r="A29" s="163"/>
      <c r="B29" s="163"/>
      <c r="C29" s="163"/>
      <c r="D29" s="163"/>
      <c r="E29" s="163"/>
      <c r="F29" s="163"/>
      <c r="G29" s="163"/>
      <c r="H29" s="163" t="s">
        <v>7477</v>
      </c>
      <c r="I29" s="173">
        <v>0</v>
      </c>
      <c r="J29" s="173">
        <v>5000</v>
      </c>
      <c r="K29" s="173">
        <f>ROUND((I29-J29),5)</f>
        <v>-5000</v>
      </c>
      <c r="L29" s="136">
        <f>ROUND(IF(I29=0, IF(J29=0, 0, SIGN(-J29)), IF(J29=0, SIGN(I29), (I29-J29)/ABS(J29))),5)</f>
        <v>-1</v>
      </c>
    </row>
    <row r="30" spans="1:14" ht="15.75" thickBot="1" x14ac:dyDescent="0.3">
      <c r="A30" s="163"/>
      <c r="B30" s="163"/>
      <c r="C30" s="163"/>
      <c r="D30" s="163"/>
      <c r="E30" s="163"/>
      <c r="F30" s="163"/>
      <c r="G30" s="163" t="s">
        <v>7476</v>
      </c>
      <c r="H30" s="163"/>
      <c r="I30" s="180">
        <f>ROUND(SUM(I28:I29),5)</f>
        <v>0</v>
      </c>
      <c r="J30" s="180">
        <f>ROUND(SUM(J28:J29),5)</f>
        <v>5000</v>
      </c>
      <c r="K30" s="180">
        <f>ROUND((I30-J30),5)</f>
        <v>-5000</v>
      </c>
      <c r="L30" s="135">
        <f>ROUND(IF(I30=0, IF(J30=0, 0, SIGN(-J30)), IF(J30=0, SIGN(I30), (I30-J30)/ABS(J30))),5)</f>
        <v>-1</v>
      </c>
    </row>
    <row r="31" spans="1:14" ht="15.75" thickBot="1" x14ac:dyDescent="0.3">
      <c r="A31" s="163"/>
      <c r="B31" s="163"/>
      <c r="C31" s="163"/>
      <c r="D31" s="163"/>
      <c r="E31" s="163"/>
      <c r="F31" s="163" t="s">
        <v>7475</v>
      </c>
      <c r="G31" s="163"/>
      <c r="H31" s="163"/>
      <c r="I31" s="177">
        <f>ROUND(I27+I30,5)</f>
        <v>0</v>
      </c>
      <c r="J31" s="177">
        <f>ROUND(J27+J30,5)</f>
        <v>5000</v>
      </c>
      <c r="K31" s="177">
        <f>ROUND((I31-J31),5)</f>
        <v>-5000</v>
      </c>
      <c r="L31" s="137">
        <f>ROUND(IF(I31=0, IF(J31=0, 0, SIGN(-J31)), IF(J31=0, SIGN(I31), (I31-J31)/ABS(J31))),5)</f>
        <v>-1</v>
      </c>
    </row>
    <row r="32" spans="1:14" x14ac:dyDescent="0.25">
      <c r="A32" s="163"/>
      <c r="B32" s="163"/>
      <c r="C32" s="163"/>
      <c r="D32" s="163"/>
      <c r="E32" s="163" t="s">
        <v>7474</v>
      </c>
      <c r="F32" s="163"/>
      <c r="G32" s="163"/>
      <c r="H32" s="163"/>
      <c r="I32" s="172">
        <f>ROUND(I26+I31,5)</f>
        <v>0</v>
      </c>
      <c r="J32" s="172">
        <f>ROUND(J26+J31,5)</f>
        <v>5000</v>
      </c>
      <c r="K32" s="172">
        <f>ROUND((I32-J32),5)</f>
        <v>-5000</v>
      </c>
      <c r="L32" s="136">
        <f>ROUND(IF(I32=0, IF(J32=0, 0, SIGN(-J32)), IF(J32=0, SIGN(I32), (I32-J32)/ABS(J32))),5)</f>
        <v>-1</v>
      </c>
    </row>
    <row r="33" spans="1:12" x14ac:dyDescent="0.25">
      <c r="A33" s="163"/>
      <c r="B33" s="163"/>
      <c r="C33" s="163"/>
      <c r="D33" s="163"/>
      <c r="E33" s="163" t="s">
        <v>7855</v>
      </c>
      <c r="F33" s="163"/>
      <c r="G33" s="163"/>
      <c r="H33" s="163"/>
      <c r="I33" s="172">
        <v>10</v>
      </c>
      <c r="J33" s="172">
        <v>0</v>
      </c>
      <c r="K33" s="172">
        <f>ROUND((I33-J33),5)</f>
        <v>10</v>
      </c>
      <c r="L33" s="136">
        <f>ROUND(IF(I33=0, IF(J33=0, 0, SIGN(-J33)), IF(J33=0, SIGN(I33), (I33-J33)/ABS(J33))),5)</f>
        <v>1</v>
      </c>
    </row>
    <row r="34" spans="1:12" x14ac:dyDescent="0.25">
      <c r="A34" s="163"/>
      <c r="B34" s="163"/>
      <c r="C34" s="163"/>
      <c r="D34" s="163"/>
      <c r="E34" s="163" t="s">
        <v>228</v>
      </c>
      <c r="F34" s="163"/>
      <c r="G34" s="163"/>
      <c r="H34" s="163"/>
      <c r="I34" s="172"/>
      <c r="J34" s="172"/>
      <c r="K34" s="172"/>
      <c r="L34" s="136"/>
    </row>
    <row r="35" spans="1:12" ht="15.75" thickBot="1" x14ac:dyDescent="0.3">
      <c r="A35" s="163"/>
      <c r="B35" s="163"/>
      <c r="C35" s="163"/>
      <c r="D35" s="163"/>
      <c r="E35" s="163"/>
      <c r="F35" s="163" t="s">
        <v>7473</v>
      </c>
      <c r="G35" s="163"/>
      <c r="H35" s="163"/>
      <c r="I35" s="176">
        <v>484.5</v>
      </c>
      <c r="J35" s="176">
        <v>922.65</v>
      </c>
      <c r="K35" s="176">
        <f>ROUND((I35-J35),5)</f>
        <v>-438.15</v>
      </c>
      <c r="L35" s="138">
        <f>ROUND(IF(I35=0, IF(J35=0, 0, SIGN(-J35)), IF(J35=0, SIGN(I35), (I35-J35)/ABS(J35))),5)</f>
        <v>-0.47488000000000002</v>
      </c>
    </row>
    <row r="36" spans="1:12" x14ac:dyDescent="0.25">
      <c r="A36" s="163"/>
      <c r="B36" s="163"/>
      <c r="C36" s="163"/>
      <c r="D36" s="163"/>
      <c r="E36" s="163" t="s">
        <v>7472</v>
      </c>
      <c r="F36" s="163"/>
      <c r="G36" s="163"/>
      <c r="H36" s="163"/>
      <c r="I36" s="172">
        <f>ROUND(SUM(I34:I35),5)</f>
        <v>484.5</v>
      </c>
      <c r="J36" s="172">
        <f>ROUND(SUM(J34:J35),5)</f>
        <v>922.65</v>
      </c>
      <c r="K36" s="172">
        <f>ROUND((I36-J36),5)</f>
        <v>-438.15</v>
      </c>
      <c r="L36" s="136">
        <f>ROUND(IF(I36=0, IF(J36=0, 0, SIGN(-J36)), IF(J36=0, SIGN(I36), (I36-J36)/ABS(J36))),5)</f>
        <v>-0.47488000000000002</v>
      </c>
    </row>
    <row r="37" spans="1:12" x14ac:dyDescent="0.25">
      <c r="A37" s="163"/>
      <c r="B37" s="163"/>
      <c r="C37" s="163"/>
      <c r="D37" s="163"/>
      <c r="E37" s="163" t="s">
        <v>13</v>
      </c>
      <c r="F37" s="163"/>
      <c r="G37" s="163"/>
      <c r="H37" s="163"/>
      <c r="I37" s="172"/>
      <c r="J37" s="172"/>
      <c r="K37" s="172"/>
      <c r="L37" s="136"/>
    </row>
    <row r="38" spans="1:12" x14ac:dyDescent="0.25">
      <c r="A38" s="163"/>
      <c r="B38" s="163"/>
      <c r="C38" s="163"/>
      <c r="D38" s="163"/>
      <c r="E38" s="163"/>
      <c r="F38" s="163" t="s">
        <v>14</v>
      </c>
      <c r="G38" s="163"/>
      <c r="H38" s="163"/>
      <c r="I38" s="172">
        <v>6555.99</v>
      </c>
      <c r="J38" s="172">
        <v>29346.560000000001</v>
      </c>
      <c r="K38" s="172">
        <f>ROUND((I38-J38),5)</f>
        <v>-22790.57</v>
      </c>
      <c r="L38" s="136">
        <f>ROUND(IF(I38=0, IF(J38=0, 0, SIGN(-J38)), IF(J38=0, SIGN(I38), (I38-J38)/ABS(J38))),5)</f>
        <v>-0.77659999999999996</v>
      </c>
    </row>
    <row r="39" spans="1:12" x14ac:dyDescent="0.25">
      <c r="A39" s="163"/>
      <c r="B39" s="163"/>
      <c r="C39" s="163"/>
      <c r="D39" s="163"/>
      <c r="E39" s="163"/>
      <c r="F39" s="163" t="s">
        <v>7471</v>
      </c>
      <c r="G39" s="163"/>
      <c r="H39" s="163"/>
      <c r="I39" s="172">
        <v>3039.72</v>
      </c>
      <c r="J39" s="172">
        <v>7600.33</v>
      </c>
      <c r="K39" s="172">
        <f>ROUND((I39-J39),5)</f>
        <v>-4560.6099999999997</v>
      </c>
      <c r="L39" s="136">
        <f>ROUND(IF(I39=0, IF(J39=0, 0, SIGN(-J39)), IF(J39=0, SIGN(I39), (I39-J39)/ABS(J39))),5)</f>
        <v>-0.60004999999999997</v>
      </c>
    </row>
    <row r="40" spans="1:12" ht="15.75" thickBot="1" x14ac:dyDescent="0.3">
      <c r="A40" s="163"/>
      <c r="B40" s="163"/>
      <c r="C40" s="163"/>
      <c r="D40" s="163"/>
      <c r="E40" s="163"/>
      <c r="F40" s="163" t="s">
        <v>15</v>
      </c>
      <c r="G40" s="163"/>
      <c r="H40" s="163"/>
      <c r="I40" s="176">
        <v>21313.95</v>
      </c>
      <c r="J40" s="176">
        <v>9156.1</v>
      </c>
      <c r="K40" s="176">
        <f>ROUND((I40-J40),5)</f>
        <v>12157.85</v>
      </c>
      <c r="L40" s="138">
        <f>ROUND(IF(I40=0, IF(J40=0, 0, SIGN(-J40)), IF(J40=0, SIGN(I40), (I40-J40)/ABS(J40))),5)</f>
        <v>1.3278399999999999</v>
      </c>
    </row>
    <row r="41" spans="1:12" x14ac:dyDescent="0.25">
      <c r="A41" s="163"/>
      <c r="B41" s="163"/>
      <c r="C41" s="163"/>
      <c r="D41" s="163"/>
      <c r="E41" s="163" t="s">
        <v>16</v>
      </c>
      <c r="F41" s="163"/>
      <c r="G41" s="163"/>
      <c r="H41" s="163"/>
      <c r="I41" s="172">
        <f>ROUND(SUM(I37:I40),5)</f>
        <v>30909.66</v>
      </c>
      <c r="J41" s="172">
        <f>ROUND(SUM(J37:J40),5)</f>
        <v>46102.99</v>
      </c>
      <c r="K41" s="172">
        <f>ROUND((I41-J41),5)</f>
        <v>-15193.33</v>
      </c>
      <c r="L41" s="136">
        <f>ROUND(IF(I41=0, IF(J41=0, 0, SIGN(-J41)), IF(J41=0, SIGN(I41), (I41-J41)/ABS(J41))),5)</f>
        <v>-0.32955000000000001</v>
      </c>
    </row>
    <row r="42" spans="1:12" x14ac:dyDescent="0.25">
      <c r="A42" s="163"/>
      <c r="B42" s="163"/>
      <c r="C42" s="163"/>
      <c r="D42" s="163"/>
      <c r="E42" s="163" t="s">
        <v>7528</v>
      </c>
      <c r="F42" s="163"/>
      <c r="G42" s="163"/>
      <c r="H42" s="163"/>
      <c r="I42" s="172"/>
      <c r="J42" s="172"/>
      <c r="K42" s="172"/>
      <c r="L42" s="136"/>
    </row>
    <row r="43" spans="1:12" ht="15.75" thickBot="1" x14ac:dyDescent="0.3">
      <c r="A43" s="163"/>
      <c r="B43" s="163"/>
      <c r="C43" s="163"/>
      <c r="D43" s="163"/>
      <c r="E43" s="163"/>
      <c r="F43" s="163" t="s">
        <v>7529</v>
      </c>
      <c r="G43" s="163"/>
      <c r="H43" s="163"/>
      <c r="I43" s="176">
        <v>0</v>
      </c>
      <c r="J43" s="176">
        <v>706.95</v>
      </c>
      <c r="K43" s="176">
        <f>ROUND((I43-J43),5)</f>
        <v>-706.95</v>
      </c>
      <c r="L43" s="138">
        <f>ROUND(IF(I43=0, IF(J43=0, 0, SIGN(-J43)), IF(J43=0, SIGN(I43), (I43-J43)/ABS(J43))),5)</f>
        <v>-1</v>
      </c>
    </row>
    <row r="44" spans="1:12" x14ac:dyDescent="0.25">
      <c r="A44" s="163"/>
      <c r="B44" s="163"/>
      <c r="C44" s="163"/>
      <c r="D44" s="163"/>
      <c r="E44" s="163" t="s">
        <v>7530</v>
      </c>
      <c r="F44" s="163"/>
      <c r="G44" s="163"/>
      <c r="H44" s="163"/>
      <c r="I44" s="172">
        <f>ROUND(SUM(I42:I43),5)</f>
        <v>0</v>
      </c>
      <c r="J44" s="172">
        <f>ROUND(SUM(J42:J43),5)</f>
        <v>706.95</v>
      </c>
      <c r="K44" s="172">
        <f>ROUND((I44-J44),5)</f>
        <v>-706.95</v>
      </c>
      <c r="L44" s="136">
        <f>ROUND(IF(I44=0, IF(J44=0, 0, SIGN(-J44)), IF(J44=0, SIGN(I44), (I44-J44)/ABS(J44))),5)</f>
        <v>-1</v>
      </c>
    </row>
    <row r="45" spans="1:12" x14ac:dyDescent="0.25">
      <c r="A45" s="163"/>
      <c r="B45" s="163"/>
      <c r="C45" s="163"/>
      <c r="D45" s="163"/>
      <c r="E45" s="163" t="s">
        <v>7433</v>
      </c>
      <c r="F45" s="163"/>
      <c r="G45" s="163"/>
      <c r="H45" s="163"/>
      <c r="I45" s="172"/>
      <c r="J45" s="172"/>
      <c r="K45" s="172"/>
      <c r="L45" s="136"/>
    </row>
    <row r="46" spans="1:12" x14ac:dyDescent="0.25">
      <c r="A46" s="163"/>
      <c r="B46" s="163"/>
      <c r="C46" s="163"/>
      <c r="D46" s="163"/>
      <c r="E46" s="163"/>
      <c r="F46" s="163" t="s">
        <v>7834</v>
      </c>
      <c r="G46" s="163"/>
      <c r="H46" s="163"/>
      <c r="I46" s="172">
        <v>31416.67</v>
      </c>
      <c r="J46" s="172">
        <v>0</v>
      </c>
      <c r="K46" s="172">
        <f t="shared" ref="K46:K48" si="2">ROUND((I46-J46),5)</f>
        <v>31416.67</v>
      </c>
      <c r="L46" s="136">
        <f t="shared" ref="L46:L48" si="3">ROUND(IF(I46=0, IF(J46=0, 0, SIGN(-J46)), IF(J46=0, SIGN(I46), (I46-J46)/ABS(J46))),5)</f>
        <v>1</v>
      </c>
    </row>
    <row r="47" spans="1:12" x14ac:dyDescent="0.25">
      <c r="A47" s="163"/>
      <c r="B47" s="163"/>
      <c r="C47" s="163"/>
      <c r="D47" s="163"/>
      <c r="E47" s="163"/>
      <c r="F47" s="163" t="s">
        <v>13</v>
      </c>
      <c r="G47" s="163"/>
      <c r="H47" s="163"/>
      <c r="I47" s="172">
        <v>65000</v>
      </c>
      <c r="J47" s="172">
        <v>15000</v>
      </c>
      <c r="K47" s="172">
        <f t="shared" si="2"/>
        <v>50000</v>
      </c>
      <c r="L47" s="136">
        <f t="shared" si="3"/>
        <v>3.3333300000000001</v>
      </c>
    </row>
    <row r="48" spans="1:12" ht="15.75" thickBot="1" x14ac:dyDescent="0.3">
      <c r="A48" s="163"/>
      <c r="B48" s="163"/>
      <c r="C48" s="163"/>
      <c r="D48" s="163"/>
      <c r="E48" s="163"/>
      <c r="F48" s="163" t="s">
        <v>7837</v>
      </c>
      <c r="G48" s="163"/>
      <c r="H48" s="163"/>
      <c r="I48" s="172">
        <v>0</v>
      </c>
      <c r="J48" s="172">
        <v>0</v>
      </c>
      <c r="K48" s="172">
        <f t="shared" si="2"/>
        <v>0</v>
      </c>
      <c r="L48" s="136">
        <f t="shared" si="3"/>
        <v>0</v>
      </c>
    </row>
    <row r="49" spans="1:15" ht="15.75" thickBot="1" x14ac:dyDescent="0.3">
      <c r="A49" s="163"/>
      <c r="B49" s="163"/>
      <c r="C49" s="163"/>
      <c r="D49" s="163"/>
      <c r="E49" s="163" t="s">
        <v>7434</v>
      </c>
      <c r="F49" s="163"/>
      <c r="G49" s="163"/>
      <c r="H49" s="163"/>
      <c r="I49" s="180">
        <f>ROUND(SUM(I45:I48),5)</f>
        <v>96416.67</v>
      </c>
      <c r="J49" s="180">
        <f>ROUND(SUM(J45:J48),5)</f>
        <v>15000</v>
      </c>
      <c r="K49" s="180">
        <f t="shared" ref="K49:K51" si="4">ROUND((I49-J49),5)</f>
        <v>81416.67</v>
      </c>
      <c r="L49" s="135">
        <f t="shared" ref="L49:L51" si="5">ROUND(IF(I49=0, IF(J49=0, 0, SIGN(-J49)), IF(J49=0, SIGN(I49), (I49-J49)/ABS(J49))),5)</f>
        <v>5.4277800000000003</v>
      </c>
    </row>
    <row r="50" spans="1:15" ht="15.75" thickBot="1" x14ac:dyDescent="0.3">
      <c r="A50" s="163"/>
      <c r="B50" s="163"/>
      <c r="C50" s="163"/>
      <c r="D50" s="163" t="s">
        <v>17</v>
      </c>
      <c r="E50" s="163"/>
      <c r="F50" s="163"/>
      <c r="G50" s="163"/>
      <c r="H50" s="163"/>
      <c r="I50" s="177">
        <f>ROUND(SUM(I4:I7)+I10+I20+I25+SUM(I32:I33)+I36+I41+I44+I49,5)</f>
        <v>1425929.95</v>
      </c>
      <c r="J50" s="177">
        <f>ROUND(SUM(J4:J7)+J10+J20+J25+SUM(J32:J33)+J36+J41+J44+J49,5)</f>
        <v>923672.58</v>
      </c>
      <c r="K50" s="177">
        <f t="shared" si="4"/>
        <v>502257.37</v>
      </c>
      <c r="L50" s="137">
        <f t="shared" si="5"/>
        <v>0.54376000000000002</v>
      </c>
    </row>
    <row r="51" spans="1:15" x14ac:dyDescent="0.25">
      <c r="A51" s="163"/>
      <c r="B51" s="163"/>
      <c r="C51" s="163" t="s">
        <v>18</v>
      </c>
      <c r="D51" s="163"/>
      <c r="E51" s="163"/>
      <c r="F51" s="163"/>
      <c r="G51" s="163"/>
      <c r="H51" s="163"/>
      <c r="I51" s="172">
        <f>I50</f>
        <v>1425929.95</v>
      </c>
      <c r="J51" s="172">
        <f>J50</f>
        <v>923672.58</v>
      </c>
      <c r="K51" s="172">
        <f t="shared" si="4"/>
        <v>502257.37</v>
      </c>
      <c r="L51" s="136">
        <f t="shared" si="5"/>
        <v>0.54376000000000002</v>
      </c>
      <c r="O51" s="181"/>
    </row>
    <row r="52" spans="1:15" x14ac:dyDescent="0.25">
      <c r="A52" s="163"/>
      <c r="B52" s="163"/>
      <c r="C52" s="163"/>
      <c r="D52" s="163" t="s">
        <v>19</v>
      </c>
      <c r="E52" s="163"/>
      <c r="F52" s="163"/>
      <c r="G52" s="163"/>
      <c r="H52" s="163"/>
      <c r="I52" s="172"/>
      <c r="J52" s="172"/>
      <c r="K52" s="172"/>
      <c r="L52" s="136"/>
    </row>
    <row r="53" spans="1:15" x14ac:dyDescent="0.25">
      <c r="A53" s="163"/>
      <c r="B53" s="163"/>
      <c r="C53" s="163"/>
      <c r="D53" s="163"/>
      <c r="E53" s="163" t="s">
        <v>7838</v>
      </c>
      <c r="F53" s="163"/>
      <c r="G53" s="163"/>
      <c r="H53" s="163"/>
      <c r="I53" s="172">
        <v>7695.35</v>
      </c>
      <c r="J53" s="172">
        <v>0</v>
      </c>
      <c r="K53" s="172">
        <f>ROUND((I53-J53),5)</f>
        <v>7695.35</v>
      </c>
      <c r="L53" s="136">
        <f>ROUND(IF(I53=0, IF(J53=0, 0, SIGN(-J53)), IF(J53=0, SIGN(I53), (I53-J53)/ABS(J53))),5)</f>
        <v>1</v>
      </c>
    </row>
    <row r="54" spans="1:15" x14ac:dyDescent="0.25">
      <c r="A54" s="163"/>
      <c r="B54" s="163"/>
      <c r="C54" s="163"/>
      <c r="D54" s="163"/>
      <c r="E54" s="163" t="s">
        <v>7501</v>
      </c>
      <c r="F54" s="163"/>
      <c r="G54" s="163"/>
      <c r="H54" s="163"/>
      <c r="I54" s="172"/>
      <c r="J54" s="172"/>
      <c r="K54" s="172"/>
      <c r="L54" s="136"/>
    </row>
    <row r="55" spans="1:15" x14ac:dyDescent="0.25">
      <c r="A55" s="163"/>
      <c r="B55" s="163"/>
      <c r="C55" s="163"/>
      <c r="D55" s="163"/>
      <c r="E55" s="163"/>
      <c r="F55" s="163" t="s">
        <v>7856</v>
      </c>
      <c r="G55" s="163"/>
      <c r="H55" s="163"/>
      <c r="I55" s="172">
        <v>2554.8000000000002</v>
      </c>
      <c r="J55" s="172">
        <v>0</v>
      </c>
      <c r="K55" s="172">
        <f>ROUND((I55-J55),5)</f>
        <v>2554.8000000000002</v>
      </c>
      <c r="L55" s="136">
        <f>ROUND(IF(I55=0, IF(J55=0, 0, SIGN(-J55)), IF(J55=0, SIGN(I55), (I55-J55)/ABS(J55))),5)</f>
        <v>1</v>
      </c>
    </row>
    <row r="56" spans="1:15" s="183" customFormat="1" x14ac:dyDescent="0.25">
      <c r="A56" s="184"/>
      <c r="B56" s="184"/>
      <c r="C56" s="184"/>
      <c r="D56" s="184"/>
      <c r="E56" s="184"/>
      <c r="F56" s="184" t="s">
        <v>7555</v>
      </c>
      <c r="G56" s="184"/>
      <c r="H56" s="184"/>
      <c r="I56" s="172">
        <v>6076.87</v>
      </c>
      <c r="J56" s="172">
        <v>0</v>
      </c>
      <c r="K56" s="172">
        <f>ROUND((I56-J56),5)</f>
        <v>6076.87</v>
      </c>
      <c r="L56" s="136">
        <f>ROUND(IF(I56=0, IF(J56=0, 0, SIGN(-J56)), IF(J56=0, SIGN(I56), (I56-J56)/ABS(J56))),5)</f>
        <v>1</v>
      </c>
    </row>
    <row r="57" spans="1:15" x14ac:dyDescent="0.25">
      <c r="A57" s="163"/>
      <c r="B57" s="163"/>
      <c r="C57" s="163"/>
      <c r="D57" s="163"/>
      <c r="E57" s="163"/>
      <c r="F57" s="163" t="s">
        <v>7857</v>
      </c>
      <c r="G57" s="163"/>
      <c r="H57" s="163"/>
      <c r="I57" s="172">
        <v>794.73</v>
      </c>
      <c r="J57" s="172">
        <v>0</v>
      </c>
      <c r="K57" s="172">
        <f>ROUND((I57-J57),5)</f>
        <v>794.73</v>
      </c>
      <c r="L57" s="136">
        <f>ROUND(IF(I57=0, IF(J57=0, 0, SIGN(-J57)), IF(J57=0, SIGN(I57), (I57-J57)/ABS(J57))),5)</f>
        <v>1</v>
      </c>
    </row>
    <row r="58" spans="1:15" ht="15.75" thickBot="1" x14ac:dyDescent="0.3">
      <c r="A58" s="163"/>
      <c r="B58" s="163"/>
      <c r="C58" s="163"/>
      <c r="D58" s="163"/>
      <c r="E58" s="163"/>
      <c r="F58" s="163" t="s">
        <v>7502</v>
      </c>
      <c r="G58" s="163"/>
      <c r="H58" s="163"/>
      <c r="I58" s="176">
        <v>1945.37</v>
      </c>
      <c r="J58" s="176">
        <v>43755.4</v>
      </c>
      <c r="K58" s="176">
        <f>ROUND((I58-J58),5)</f>
        <v>-41810.03</v>
      </c>
      <c r="L58" s="138">
        <f>ROUND(IF(I58=0, IF(J58=0, 0, SIGN(-J58)), IF(J58=0, SIGN(I58), (I58-J58)/ABS(J58))),5)</f>
        <v>-0.95553999999999994</v>
      </c>
    </row>
    <row r="59" spans="1:15" x14ac:dyDescent="0.25">
      <c r="A59" s="163"/>
      <c r="B59" s="163"/>
      <c r="C59" s="163"/>
      <c r="D59" s="163"/>
      <c r="E59" s="163" t="s">
        <v>7503</v>
      </c>
      <c r="F59" s="163"/>
      <c r="G59" s="163"/>
      <c r="H59" s="163"/>
      <c r="I59" s="172">
        <f>ROUND(SUM(I54:I58),5)</f>
        <v>11371.77</v>
      </c>
      <c r="J59" s="172">
        <f>ROUND(SUM(J54:J58),5)</f>
        <v>43755.4</v>
      </c>
      <c r="K59" s="172">
        <f>ROUND((I59-J59),5)</f>
        <v>-32383.63</v>
      </c>
      <c r="L59" s="136">
        <f>ROUND(IF(I59=0, IF(J59=0, 0, SIGN(-J59)), IF(J59=0, SIGN(I59), (I59-J59)/ABS(J59))),5)</f>
        <v>-0.74011000000000005</v>
      </c>
    </row>
    <row r="60" spans="1:15" x14ac:dyDescent="0.25">
      <c r="A60" s="163"/>
      <c r="B60" s="163"/>
      <c r="C60" s="163"/>
      <c r="D60" s="163"/>
      <c r="E60" s="163" t="s">
        <v>20</v>
      </c>
      <c r="F60" s="163"/>
      <c r="G60" s="163"/>
      <c r="H60" s="163"/>
      <c r="I60" s="172"/>
      <c r="J60" s="172"/>
      <c r="K60" s="172"/>
      <c r="L60" s="136"/>
    </row>
    <row r="61" spans="1:15" x14ac:dyDescent="0.25">
      <c r="A61" s="163"/>
      <c r="B61" s="163"/>
      <c r="C61" s="163"/>
      <c r="D61" s="163"/>
      <c r="E61" s="163"/>
      <c r="F61" s="163" t="s">
        <v>7812</v>
      </c>
      <c r="G61" s="163"/>
      <c r="H61" s="163"/>
      <c r="I61" s="172">
        <v>18576.25</v>
      </c>
      <c r="J61" s="172">
        <v>0</v>
      </c>
      <c r="K61" s="172">
        <f t="shared" ref="K61:K66" si="6">ROUND((I61-J61),5)</f>
        <v>18576.25</v>
      </c>
      <c r="L61" s="136">
        <f t="shared" ref="L61:L66" si="7">ROUND(IF(I61=0, IF(J61=0, 0, SIGN(-J61)), IF(J61=0, SIGN(I61), (I61-J61)/ABS(J61))),5)</f>
        <v>1</v>
      </c>
    </row>
    <row r="62" spans="1:15" x14ac:dyDescent="0.25">
      <c r="A62" s="163"/>
      <c r="B62" s="163"/>
      <c r="C62" s="163"/>
      <c r="D62" s="163"/>
      <c r="E62" s="163"/>
      <c r="F62" s="163" t="s">
        <v>7664</v>
      </c>
      <c r="G62" s="163"/>
      <c r="H62" s="163"/>
      <c r="I62" s="172">
        <v>19919.849999999999</v>
      </c>
      <c r="J62" s="172">
        <v>213.35</v>
      </c>
      <c r="K62" s="172">
        <f t="shared" si="6"/>
        <v>19706.5</v>
      </c>
      <c r="L62" s="136">
        <f t="shared" si="7"/>
        <v>92.367000000000004</v>
      </c>
    </row>
    <row r="63" spans="1:15" x14ac:dyDescent="0.25">
      <c r="A63" s="163"/>
      <c r="B63" s="163"/>
      <c r="C63" s="163"/>
      <c r="D63" s="163"/>
      <c r="E63" s="163"/>
      <c r="F63" s="163" t="s">
        <v>21</v>
      </c>
      <c r="G63" s="163"/>
      <c r="H63" s="163"/>
      <c r="I63" s="172">
        <v>3646.57</v>
      </c>
      <c r="J63" s="172">
        <v>307.08999999999997</v>
      </c>
      <c r="K63" s="172">
        <f t="shared" si="6"/>
        <v>3339.48</v>
      </c>
      <c r="L63" s="136">
        <f t="shared" si="7"/>
        <v>10.874599999999999</v>
      </c>
    </row>
    <row r="64" spans="1:15" x14ac:dyDescent="0.25">
      <c r="A64" s="163"/>
      <c r="B64" s="163"/>
      <c r="C64" s="163"/>
      <c r="D64" s="163"/>
      <c r="E64" s="163"/>
      <c r="F64" s="163" t="s">
        <v>22</v>
      </c>
      <c r="G64" s="163"/>
      <c r="H64" s="163"/>
      <c r="I64" s="172">
        <v>37490.620000000003</v>
      </c>
      <c r="J64" s="172">
        <v>24698.12</v>
      </c>
      <c r="K64" s="172">
        <f t="shared" si="6"/>
        <v>12792.5</v>
      </c>
      <c r="L64" s="136">
        <f t="shared" si="7"/>
        <v>0.51795000000000002</v>
      </c>
    </row>
    <row r="65" spans="1:19" x14ac:dyDescent="0.25">
      <c r="A65" s="163"/>
      <c r="B65" s="163"/>
      <c r="C65" s="163"/>
      <c r="D65" s="163"/>
      <c r="E65" s="163"/>
      <c r="F65" s="163" t="s">
        <v>23</v>
      </c>
      <c r="G65" s="163"/>
      <c r="H65" s="163"/>
      <c r="I65" s="172">
        <v>500</v>
      </c>
      <c r="J65" s="172">
        <v>456.75</v>
      </c>
      <c r="K65" s="172">
        <f t="shared" si="6"/>
        <v>43.25</v>
      </c>
      <c r="L65" s="136">
        <f t="shared" si="7"/>
        <v>9.4689999999999996E-2</v>
      </c>
    </row>
    <row r="66" spans="1:19" x14ac:dyDescent="0.25">
      <c r="A66" s="163"/>
      <c r="B66" s="163"/>
      <c r="C66" s="163"/>
      <c r="D66" s="163"/>
      <c r="E66" s="163"/>
      <c r="F66" s="163" t="s">
        <v>24</v>
      </c>
      <c r="G66" s="163"/>
      <c r="H66" s="163"/>
      <c r="I66" s="172">
        <v>3442.5</v>
      </c>
      <c r="J66" s="172">
        <v>3935.27</v>
      </c>
      <c r="K66" s="172">
        <f t="shared" si="6"/>
        <v>-492.77</v>
      </c>
      <c r="L66" s="136">
        <f t="shared" si="7"/>
        <v>-0.12522</v>
      </c>
    </row>
    <row r="67" spans="1:19" x14ac:dyDescent="0.25">
      <c r="A67" s="163"/>
      <c r="B67" s="163"/>
      <c r="C67" s="163"/>
      <c r="D67" s="163"/>
      <c r="E67" s="163"/>
      <c r="F67" s="163" t="s">
        <v>25</v>
      </c>
      <c r="G67" s="163"/>
      <c r="H67" s="163"/>
      <c r="I67" s="172"/>
      <c r="J67" s="172"/>
      <c r="K67" s="172"/>
      <c r="L67" s="136"/>
    </row>
    <row r="68" spans="1:19" x14ac:dyDescent="0.25">
      <c r="A68" s="163"/>
      <c r="B68" s="163"/>
      <c r="C68" s="163"/>
      <c r="D68" s="163"/>
      <c r="E68" s="163"/>
      <c r="F68" s="163"/>
      <c r="G68" s="163" t="s">
        <v>26</v>
      </c>
      <c r="H68" s="163"/>
      <c r="I68" s="172">
        <v>5448.8</v>
      </c>
      <c r="J68" s="172">
        <v>4804.45</v>
      </c>
      <c r="K68" s="172">
        <f t="shared" ref="K68:K70" si="8">ROUND((I68-J68),5)</f>
        <v>644.35</v>
      </c>
      <c r="L68" s="136">
        <f t="shared" ref="L68:L70" si="9">ROUND(IF(I68=0, IF(J68=0, 0, SIGN(-J68)), IF(J68=0, SIGN(I68), (I68-J68)/ABS(J68))),5)</f>
        <v>0.13411999999999999</v>
      </c>
    </row>
    <row r="69" spans="1:19" x14ac:dyDescent="0.25">
      <c r="A69" s="163"/>
      <c r="B69" s="163"/>
      <c r="C69" s="163"/>
      <c r="D69" s="163"/>
      <c r="E69" s="163"/>
      <c r="F69" s="163"/>
      <c r="G69" s="163" t="s">
        <v>7525</v>
      </c>
      <c r="H69" s="163"/>
      <c r="I69" s="172">
        <v>2085.0700000000002</v>
      </c>
      <c r="J69" s="172">
        <v>2055.83</v>
      </c>
      <c r="K69" s="172">
        <f t="shared" si="8"/>
        <v>29.24</v>
      </c>
      <c r="L69" s="136">
        <f t="shared" si="9"/>
        <v>1.422E-2</v>
      </c>
    </row>
    <row r="70" spans="1:19" ht="15.75" thickBot="1" x14ac:dyDescent="0.3">
      <c r="A70" s="163"/>
      <c r="B70" s="163"/>
      <c r="C70" s="163"/>
      <c r="D70" s="163"/>
      <c r="E70" s="163"/>
      <c r="F70" s="163"/>
      <c r="G70" s="163" t="s">
        <v>7521</v>
      </c>
      <c r="H70" s="163"/>
      <c r="I70" s="176">
        <v>0</v>
      </c>
      <c r="J70" s="176">
        <v>658</v>
      </c>
      <c r="K70" s="176">
        <f t="shared" si="8"/>
        <v>-658</v>
      </c>
      <c r="L70" s="138">
        <f t="shared" si="9"/>
        <v>-1</v>
      </c>
    </row>
    <row r="71" spans="1:19" x14ac:dyDescent="0.25">
      <c r="A71" s="163"/>
      <c r="B71" s="163"/>
      <c r="C71" s="163"/>
      <c r="D71" s="163"/>
      <c r="E71" s="163"/>
      <c r="F71" s="163" t="s">
        <v>27</v>
      </c>
      <c r="G71" s="163"/>
      <c r="H71" s="163"/>
      <c r="I71" s="172">
        <f>ROUND(SUM(I67:I70),5)</f>
        <v>7533.87</v>
      </c>
      <c r="J71" s="172">
        <f>ROUND(SUM(J67:J70),5)</f>
        <v>7518.28</v>
      </c>
      <c r="K71" s="172">
        <f t="shared" ref="K71:K77" si="10">ROUND((I71-J71),5)</f>
        <v>15.59</v>
      </c>
      <c r="L71" s="136">
        <f t="shared" ref="L71:L77" si="11">ROUND(IF(I71=0, IF(J71=0, 0, SIGN(-J71)), IF(J71=0, SIGN(I71), (I71-J71)/ABS(J71))),5)</f>
        <v>2.0699999999999998E-3</v>
      </c>
    </row>
    <row r="72" spans="1:19" x14ac:dyDescent="0.25">
      <c r="A72" s="163"/>
      <c r="B72" s="163"/>
      <c r="C72" s="163"/>
      <c r="D72" s="163"/>
      <c r="E72" s="163"/>
      <c r="F72" s="163" t="s">
        <v>7435</v>
      </c>
      <c r="G72" s="163"/>
      <c r="H72" s="163"/>
      <c r="I72" s="172">
        <v>3181</v>
      </c>
      <c r="J72" s="172">
        <v>3727</v>
      </c>
      <c r="K72" s="172">
        <f t="shared" si="10"/>
        <v>-546</v>
      </c>
      <c r="L72" s="136">
        <f t="shared" si="11"/>
        <v>-0.14649999999999999</v>
      </c>
    </row>
    <row r="73" spans="1:19" x14ac:dyDescent="0.25">
      <c r="A73" s="163"/>
      <c r="B73" s="163"/>
      <c r="C73" s="163"/>
      <c r="D73" s="163"/>
      <c r="E73" s="163"/>
      <c r="F73" s="163" t="s">
        <v>28</v>
      </c>
      <c r="G73" s="163"/>
      <c r="H73" s="163"/>
      <c r="I73" s="172">
        <v>3334.68</v>
      </c>
      <c r="J73" s="172">
        <v>2932.73</v>
      </c>
      <c r="K73" s="172">
        <f t="shared" si="10"/>
        <v>401.95</v>
      </c>
      <c r="L73" s="136">
        <f t="shared" si="11"/>
        <v>0.13705999999999999</v>
      </c>
    </row>
    <row r="74" spans="1:19" x14ac:dyDescent="0.25">
      <c r="A74" s="163"/>
      <c r="B74" s="163"/>
      <c r="C74" s="163"/>
      <c r="D74" s="163"/>
      <c r="E74" s="163"/>
      <c r="F74" s="163" t="s">
        <v>7436</v>
      </c>
      <c r="G74" s="163"/>
      <c r="H74" s="163"/>
      <c r="I74" s="172">
        <v>1567.48</v>
      </c>
      <c r="J74" s="172">
        <v>1627</v>
      </c>
      <c r="K74" s="172">
        <f t="shared" si="10"/>
        <v>-59.52</v>
      </c>
      <c r="L74" s="136">
        <f t="shared" si="11"/>
        <v>-3.6580000000000001E-2</v>
      </c>
    </row>
    <row r="75" spans="1:19" x14ac:dyDescent="0.25">
      <c r="A75" s="163"/>
      <c r="B75" s="163"/>
      <c r="C75" s="163"/>
      <c r="D75" s="163"/>
      <c r="E75" s="163"/>
      <c r="F75" s="163" t="s">
        <v>236</v>
      </c>
      <c r="G75" s="163"/>
      <c r="H75" s="163"/>
      <c r="I75" s="172">
        <v>66.709999999999994</v>
      </c>
      <c r="J75" s="172">
        <v>120.87</v>
      </c>
      <c r="K75" s="172">
        <f t="shared" si="10"/>
        <v>-54.16</v>
      </c>
      <c r="L75" s="136">
        <f t="shared" si="11"/>
        <v>-0.44807999999999998</v>
      </c>
    </row>
    <row r="76" spans="1:19" x14ac:dyDescent="0.25">
      <c r="A76" s="163"/>
      <c r="B76" s="163"/>
      <c r="C76" s="163"/>
      <c r="D76" s="163"/>
      <c r="E76" s="163"/>
      <c r="F76" s="163" t="s">
        <v>7714</v>
      </c>
      <c r="G76" s="163"/>
      <c r="H76" s="163"/>
      <c r="I76" s="172">
        <v>9798.6200000000008</v>
      </c>
      <c r="J76" s="172">
        <v>242.6</v>
      </c>
      <c r="K76" s="172">
        <f t="shared" si="10"/>
        <v>9556.02</v>
      </c>
      <c r="L76" s="136">
        <f t="shared" si="11"/>
        <v>39.39002</v>
      </c>
      <c r="P76" s="162" t="s">
        <v>7795</v>
      </c>
      <c r="R76" s="58">
        <v>0.22231677883718848</v>
      </c>
      <c r="S76" s="161">
        <f>$I$100*R76</f>
        <v>148174.84228551059</v>
      </c>
    </row>
    <row r="77" spans="1:19" x14ac:dyDescent="0.25">
      <c r="A77" s="163"/>
      <c r="B77" s="163"/>
      <c r="C77" s="163"/>
      <c r="D77" s="163"/>
      <c r="E77" s="163"/>
      <c r="F77" s="163" t="s">
        <v>7468</v>
      </c>
      <c r="G77" s="163"/>
      <c r="H77" s="163"/>
      <c r="I77" s="172">
        <v>0</v>
      </c>
      <c r="J77" s="172">
        <v>57.17</v>
      </c>
      <c r="K77" s="172">
        <f t="shared" si="10"/>
        <v>-57.17</v>
      </c>
      <c r="L77" s="136">
        <f t="shared" si="11"/>
        <v>-1</v>
      </c>
      <c r="P77" s="162" t="s">
        <v>7460</v>
      </c>
      <c r="R77" s="58">
        <v>0.22384322220756409</v>
      </c>
      <c r="S77" s="161">
        <f t="shared" ref="S77:S83" si="12">$I$100*R77</f>
        <v>149192.2216612203</v>
      </c>
    </row>
    <row r="78" spans="1:19" x14ac:dyDescent="0.25">
      <c r="A78" s="163"/>
      <c r="B78" s="163"/>
      <c r="C78" s="163"/>
      <c r="D78" s="163"/>
      <c r="E78" s="163"/>
      <c r="F78" s="163" t="s">
        <v>29</v>
      </c>
      <c r="G78" s="163"/>
      <c r="H78" s="163"/>
      <c r="I78" s="172"/>
      <c r="J78" s="172"/>
      <c r="K78" s="172"/>
      <c r="L78" s="136"/>
      <c r="P78" s="162" t="s">
        <v>232</v>
      </c>
      <c r="R78" s="58">
        <v>9.865101792954134E-2</v>
      </c>
      <c r="S78" s="161">
        <f t="shared" si="12"/>
        <v>65751.218146786487</v>
      </c>
    </row>
    <row r="79" spans="1:19" x14ac:dyDescent="0.25">
      <c r="A79" s="163"/>
      <c r="B79" s="163"/>
      <c r="C79" s="163"/>
      <c r="D79" s="163"/>
      <c r="E79" s="163"/>
      <c r="F79" s="163"/>
      <c r="G79" s="163" t="s">
        <v>30</v>
      </c>
      <c r="H79" s="163"/>
      <c r="I79" s="172">
        <v>22367.74</v>
      </c>
      <c r="J79" s="172">
        <v>8428.1200000000008</v>
      </c>
      <c r="K79" s="172">
        <f t="shared" ref="K79:K82" si="13">ROUND((I79-J79),5)</f>
        <v>13939.62</v>
      </c>
      <c r="L79" s="136">
        <f t="shared" ref="L79:L82" si="14">ROUND(IF(I79=0, IF(J79=0, 0, SIGN(-J79)), IF(J79=0, SIGN(I79), (I79-J79)/ABS(J79))),5)</f>
        <v>1.65394</v>
      </c>
      <c r="P79" s="162" t="s">
        <v>7462</v>
      </c>
      <c r="R79" s="58">
        <v>8.1190914499728761E-2</v>
      </c>
      <c r="S79" s="161">
        <f t="shared" si="12"/>
        <v>54114.003513086471</v>
      </c>
    </row>
    <row r="80" spans="1:19" x14ac:dyDescent="0.25">
      <c r="A80" s="163"/>
      <c r="B80" s="163"/>
      <c r="C80" s="163"/>
      <c r="D80" s="163"/>
      <c r="E80" s="163"/>
      <c r="F80" s="163"/>
      <c r="G80" s="163" t="s">
        <v>7467</v>
      </c>
      <c r="H80" s="163"/>
      <c r="I80" s="172">
        <v>982.12</v>
      </c>
      <c r="J80" s="172">
        <v>16734.75</v>
      </c>
      <c r="K80" s="172">
        <f t="shared" si="13"/>
        <v>-15752.63</v>
      </c>
      <c r="L80" s="136">
        <f t="shared" si="14"/>
        <v>-0.94130999999999998</v>
      </c>
      <c r="P80" s="162" t="s">
        <v>231</v>
      </c>
      <c r="R80" s="58">
        <v>5.5607492361867197E-2</v>
      </c>
      <c r="S80" s="161">
        <f t="shared" si="12"/>
        <v>37062.571047085119</v>
      </c>
    </row>
    <row r="81" spans="1:19" x14ac:dyDescent="0.25">
      <c r="A81" s="163"/>
      <c r="B81" s="163"/>
      <c r="C81" s="163"/>
      <c r="D81" s="163"/>
      <c r="E81" s="163"/>
      <c r="F81" s="163"/>
      <c r="G81" s="163" t="s">
        <v>7854</v>
      </c>
      <c r="H81" s="163"/>
      <c r="I81" s="172">
        <v>2001.57</v>
      </c>
      <c r="J81" s="172">
        <v>0</v>
      </c>
      <c r="K81" s="172">
        <f t="shared" si="13"/>
        <v>2001.57</v>
      </c>
      <c r="L81" s="136">
        <f t="shared" si="14"/>
        <v>1</v>
      </c>
      <c r="R81" s="58"/>
      <c r="S81" s="161"/>
    </row>
    <row r="82" spans="1:19" ht="15.75" thickBot="1" x14ac:dyDescent="0.3">
      <c r="A82" s="163"/>
      <c r="B82" s="163"/>
      <c r="C82" s="163"/>
      <c r="D82" s="163"/>
      <c r="E82" s="163"/>
      <c r="F82" s="163"/>
      <c r="G82" s="163" t="s">
        <v>7713</v>
      </c>
      <c r="H82" s="163"/>
      <c r="I82" s="176">
        <v>62.13</v>
      </c>
      <c r="J82" s="176">
        <v>2121.14</v>
      </c>
      <c r="K82" s="176">
        <f t="shared" si="13"/>
        <v>-2059.0100000000002</v>
      </c>
      <c r="L82" s="138">
        <f t="shared" si="14"/>
        <v>-0.97070999999999996</v>
      </c>
      <c r="P82" s="162" t="s">
        <v>7463</v>
      </c>
      <c r="R82" s="58">
        <v>6.75906395225154E-2</v>
      </c>
      <c r="S82" s="161">
        <f t="shared" si="12"/>
        <v>45049.376855896589</v>
      </c>
    </row>
    <row r="83" spans="1:19" x14ac:dyDescent="0.25">
      <c r="A83" s="163"/>
      <c r="B83" s="163"/>
      <c r="C83" s="163"/>
      <c r="D83" s="163"/>
      <c r="E83" s="163"/>
      <c r="F83" s="163" t="s">
        <v>31</v>
      </c>
      <c r="G83" s="163"/>
      <c r="H83" s="163"/>
      <c r="I83" s="172">
        <f>ROUND(SUM(I78:I82),5)</f>
        <v>25413.56</v>
      </c>
      <c r="J83" s="172">
        <f>ROUND(SUM(J78:J82),5)</f>
        <v>27284.01</v>
      </c>
      <c r="K83" s="172">
        <f t="shared" ref="K83:K88" si="15">ROUND((I83-J83),5)</f>
        <v>-1870.45</v>
      </c>
      <c r="L83" s="136">
        <f t="shared" ref="L83:L88" si="16">ROUND(IF(I83=0, IF(J83=0, 0, SIGN(-J83)), IF(J83=0, SIGN(I83), (I83-J83)/ABS(J83))),5)</f>
        <v>-6.855E-2</v>
      </c>
      <c r="P83" s="162" t="s">
        <v>7439</v>
      </c>
      <c r="R83" s="58">
        <v>0.16651261284579766</v>
      </c>
      <c r="S83" s="161">
        <f t="shared" si="12"/>
        <v>110981.1876369591</v>
      </c>
    </row>
    <row r="84" spans="1:19" ht="15.75" thickBot="1" x14ac:dyDescent="0.3">
      <c r="A84" s="163"/>
      <c r="B84" s="163"/>
      <c r="C84" s="163"/>
      <c r="D84" s="163"/>
      <c r="E84" s="163"/>
      <c r="F84" s="163" t="s">
        <v>7466</v>
      </c>
      <c r="G84" s="163"/>
      <c r="H84" s="163"/>
      <c r="I84" s="176">
        <v>283.07</v>
      </c>
      <c r="J84" s="176">
        <v>9654.9699999999993</v>
      </c>
      <c r="K84" s="176">
        <f t="shared" si="15"/>
        <v>-9371.9</v>
      </c>
      <c r="L84" s="138">
        <f t="shared" si="16"/>
        <v>-0.97067999999999999</v>
      </c>
      <c r="P84" s="162" t="s">
        <v>201</v>
      </c>
      <c r="R84" s="58">
        <v>8.4287321795797204E-2</v>
      </c>
      <c r="S84" s="161">
        <f>$I$100*R84</f>
        <v>56177.76885345536</v>
      </c>
    </row>
    <row r="85" spans="1:19" x14ac:dyDescent="0.25">
      <c r="A85" s="163"/>
      <c r="B85" s="163"/>
      <c r="C85" s="163"/>
      <c r="D85" s="163"/>
      <c r="E85" s="163" t="s">
        <v>32</v>
      </c>
      <c r="F85" s="163"/>
      <c r="G85" s="163"/>
      <c r="H85" s="163"/>
      <c r="I85" s="172">
        <f>ROUND(SUM(I60:I66)+SUM(I71:I77)+SUM(I83:I84),5)</f>
        <v>134754.78</v>
      </c>
      <c r="J85" s="172">
        <f>ROUND(SUM(J60:J66)+SUM(J71:J77)+SUM(J83:J84),5)</f>
        <v>82775.210000000006</v>
      </c>
      <c r="K85" s="172">
        <f t="shared" si="15"/>
        <v>51979.57</v>
      </c>
      <c r="L85" s="136">
        <f t="shared" si="16"/>
        <v>0.62795999999999996</v>
      </c>
      <c r="S85" s="43">
        <f>SUM(S76:S84)</f>
        <v>666503.19000000006</v>
      </c>
    </row>
    <row r="86" spans="1:19" x14ac:dyDescent="0.25">
      <c r="A86" s="163"/>
      <c r="B86" s="163"/>
      <c r="C86" s="163"/>
      <c r="D86" s="163"/>
      <c r="E86" s="163" t="s">
        <v>33</v>
      </c>
      <c r="F86" s="163"/>
      <c r="G86" s="163"/>
      <c r="H86" s="163"/>
      <c r="I86" s="172">
        <v>120163.21</v>
      </c>
      <c r="J86" s="172">
        <v>57568.43</v>
      </c>
      <c r="K86" s="172">
        <f t="shared" si="15"/>
        <v>62594.78</v>
      </c>
      <c r="L86" s="136">
        <f t="shared" si="16"/>
        <v>1.08731</v>
      </c>
    </row>
    <row r="87" spans="1:19" x14ac:dyDescent="0.25">
      <c r="A87" s="163"/>
      <c r="B87" s="163"/>
      <c r="C87" s="163"/>
      <c r="D87" s="163"/>
      <c r="E87" s="163" t="s">
        <v>7465</v>
      </c>
      <c r="F87" s="163"/>
      <c r="G87" s="163"/>
      <c r="H87" s="163"/>
      <c r="I87" s="172">
        <v>8564.2000000000007</v>
      </c>
      <c r="J87" s="172">
        <v>13271</v>
      </c>
      <c r="K87" s="172">
        <f t="shared" si="15"/>
        <v>-4706.8</v>
      </c>
      <c r="L87" s="136">
        <f t="shared" si="16"/>
        <v>-0.35466999999999999</v>
      </c>
      <c r="O87" s="48">
        <f>I86+I87+S76</f>
        <v>276902.25228551059</v>
      </c>
      <c r="P87" s="2"/>
      <c r="Q87" s="2"/>
      <c r="R87" s="2"/>
      <c r="S87" s="2"/>
    </row>
    <row r="88" spans="1:19" s="183" customFormat="1" x14ac:dyDescent="0.25">
      <c r="A88" s="184"/>
      <c r="B88" s="184"/>
      <c r="C88" s="184"/>
      <c r="D88" s="184"/>
      <c r="E88" s="184" t="s">
        <v>7696</v>
      </c>
      <c r="F88" s="184"/>
      <c r="G88" s="184"/>
      <c r="H88" s="184"/>
      <c r="I88" s="172">
        <v>0</v>
      </c>
      <c r="J88" s="172">
        <v>5</v>
      </c>
      <c r="K88" s="172">
        <f t="shared" si="15"/>
        <v>-5</v>
      </c>
      <c r="L88" s="136">
        <f t="shared" si="16"/>
        <v>-1</v>
      </c>
      <c r="O88" s="48"/>
      <c r="P88" s="2"/>
      <c r="Q88" s="2"/>
      <c r="R88" s="2"/>
      <c r="S88" s="2"/>
    </row>
    <row r="89" spans="1:19" x14ac:dyDescent="0.25">
      <c r="A89" s="163"/>
      <c r="B89" s="163"/>
      <c r="C89" s="163"/>
      <c r="D89" s="163"/>
      <c r="E89" s="163" t="s">
        <v>36</v>
      </c>
      <c r="F89" s="163"/>
      <c r="G89" s="163"/>
      <c r="H89" s="163"/>
      <c r="I89" s="172"/>
      <c r="J89" s="172"/>
      <c r="K89" s="172"/>
      <c r="L89" s="136"/>
    </row>
    <row r="90" spans="1:19" x14ac:dyDescent="0.25">
      <c r="A90" s="163"/>
      <c r="B90" s="163"/>
      <c r="C90" s="163"/>
      <c r="D90" s="163"/>
      <c r="E90" s="163"/>
      <c r="F90" s="163" t="s">
        <v>1611</v>
      </c>
      <c r="G90" s="163"/>
      <c r="H90" s="163"/>
      <c r="I90" s="172">
        <v>11695.13</v>
      </c>
      <c r="J90" s="172">
        <v>0</v>
      </c>
      <c r="K90" s="172">
        <f>ROUND((I90-J90),5)</f>
        <v>11695.13</v>
      </c>
      <c r="L90" s="136">
        <f>ROUND(IF(I90=0, IF(J90=0, 0, SIGN(-J90)), IF(J90=0, SIGN(I90), (I90-J90)/ABS(J90))),5)</f>
        <v>1</v>
      </c>
    </row>
    <row r="91" spans="1:19" x14ac:dyDescent="0.25">
      <c r="A91" s="163"/>
      <c r="B91" s="163"/>
      <c r="C91" s="163"/>
      <c r="D91" s="163"/>
      <c r="E91" s="163"/>
      <c r="F91" s="163" t="s">
        <v>7806</v>
      </c>
      <c r="G91" s="163"/>
      <c r="H91" s="163"/>
      <c r="I91" s="172">
        <v>24565.01</v>
      </c>
      <c r="J91" s="172">
        <v>0</v>
      </c>
      <c r="K91" s="172">
        <f>ROUND((I91-J91),5)</f>
        <v>24565.01</v>
      </c>
      <c r="L91" s="136">
        <f>ROUND(IF(I91=0, IF(J91=0, 0, SIGN(-J91)), IF(J91=0, SIGN(I91), (I91-J91)/ABS(J91))),5)</f>
        <v>1</v>
      </c>
    </row>
    <row r="92" spans="1:19" ht="15.75" thickBot="1" x14ac:dyDescent="0.3">
      <c r="A92" s="163"/>
      <c r="B92" s="163"/>
      <c r="C92" s="163"/>
      <c r="D92" s="163"/>
      <c r="E92" s="163"/>
      <c r="F92" s="163" t="s">
        <v>37</v>
      </c>
      <c r="G92" s="163"/>
      <c r="H92" s="163"/>
      <c r="I92" s="176">
        <v>47630.01</v>
      </c>
      <c r="J92" s="176">
        <v>7500.47</v>
      </c>
      <c r="K92" s="176">
        <f>ROUND((I92-J92),5)</f>
        <v>40129.54</v>
      </c>
      <c r="L92" s="138">
        <f>ROUND(IF(I92=0, IF(J92=0, 0, SIGN(-J92)), IF(J92=0, SIGN(I92), (I92-J92)/ABS(J92))),5)</f>
        <v>5.3502700000000001</v>
      </c>
    </row>
    <row r="93" spans="1:19" x14ac:dyDescent="0.25">
      <c r="A93" s="163"/>
      <c r="B93" s="163"/>
      <c r="C93" s="163"/>
      <c r="D93" s="163"/>
      <c r="E93" s="163" t="s">
        <v>38</v>
      </c>
      <c r="F93" s="163"/>
      <c r="G93" s="163"/>
      <c r="H93" s="163"/>
      <c r="I93" s="172">
        <f>ROUND(SUM(I89:I92),5)</f>
        <v>83890.15</v>
      </c>
      <c r="J93" s="172">
        <f>ROUND(SUM(J89:J92),5)</f>
        <v>7500.47</v>
      </c>
      <c r="K93" s="172">
        <f>ROUND((I93-J93),5)</f>
        <v>76389.679999999993</v>
      </c>
      <c r="L93" s="136">
        <f>ROUND(IF(I93=0, IF(J93=0, 0, SIGN(-J93)), IF(J93=0, SIGN(I93), (I93-J93)/ABS(J93))),5)</f>
        <v>10.18465</v>
      </c>
    </row>
    <row r="94" spans="1:19" x14ac:dyDescent="0.25">
      <c r="A94" s="163"/>
      <c r="B94" s="163"/>
      <c r="C94" s="163"/>
      <c r="D94" s="163"/>
      <c r="E94" s="163" t="s">
        <v>7804</v>
      </c>
      <c r="F94" s="163"/>
      <c r="G94" s="163"/>
      <c r="H94" s="163"/>
      <c r="I94" s="172">
        <v>0.81</v>
      </c>
      <c r="J94" s="172">
        <v>0</v>
      </c>
      <c r="K94" s="172">
        <f>ROUND((I94-J94),5)</f>
        <v>0.81</v>
      </c>
      <c r="L94" s="136">
        <f>ROUND(IF(I94=0, IF(J94=0, 0, SIGN(-J94)), IF(J94=0, SIGN(I94), (I94-J94)/ABS(J94))),5)</f>
        <v>1</v>
      </c>
    </row>
    <row r="95" spans="1:19" x14ac:dyDescent="0.25">
      <c r="A95" s="163"/>
      <c r="B95" s="163"/>
      <c r="C95" s="163"/>
      <c r="D95" s="163"/>
      <c r="E95" s="163" t="s">
        <v>39</v>
      </c>
      <c r="F95" s="163"/>
      <c r="G95" s="163"/>
      <c r="H95" s="163"/>
      <c r="I95" s="172"/>
      <c r="J95" s="172"/>
      <c r="K95" s="172"/>
      <c r="L95" s="136"/>
    </row>
    <row r="96" spans="1:19" x14ac:dyDescent="0.25">
      <c r="A96" s="163"/>
      <c r="B96" s="163"/>
      <c r="C96" s="163"/>
      <c r="D96" s="163"/>
      <c r="E96" s="163"/>
      <c r="F96" s="163" t="s">
        <v>7464</v>
      </c>
      <c r="G96" s="163"/>
      <c r="H96" s="163"/>
      <c r="I96" s="172">
        <v>0</v>
      </c>
      <c r="J96" s="172">
        <v>5000</v>
      </c>
      <c r="K96" s="172">
        <f>ROUND((I96-J96),5)</f>
        <v>-5000</v>
      </c>
      <c r="L96" s="136">
        <f>ROUND(IF(I96=0, IF(J96=0, 0, SIGN(-J96)), IF(J96=0, SIGN(I96), (I96-J96)/ABS(J96))),5)</f>
        <v>-1</v>
      </c>
    </row>
    <row r="97" spans="1:12" x14ac:dyDescent="0.25">
      <c r="A97" s="163"/>
      <c r="B97" s="163"/>
      <c r="C97" s="163"/>
      <c r="D97" s="163"/>
      <c r="E97" s="163"/>
      <c r="F97" s="163" t="s">
        <v>40</v>
      </c>
      <c r="G97" s="163"/>
      <c r="H97" s="163"/>
      <c r="I97" s="172">
        <v>494796.6</v>
      </c>
      <c r="J97" s="172">
        <v>351531.29</v>
      </c>
      <c r="K97" s="172">
        <f>ROUND((I97-J97),5)</f>
        <v>143265.31</v>
      </c>
      <c r="L97" s="136">
        <f>ROUND(IF(I97=0, IF(J97=0, 0, SIGN(-J97)), IF(J97=0, SIGN(I97), (I97-J97)/ABS(J97))),5)</f>
        <v>0.40755000000000002</v>
      </c>
    </row>
    <row r="98" spans="1:12" x14ac:dyDescent="0.25">
      <c r="A98" s="163"/>
      <c r="B98" s="163"/>
      <c r="C98" s="163"/>
      <c r="D98" s="163"/>
      <c r="E98" s="163"/>
      <c r="F98" s="163" t="s">
        <v>7813</v>
      </c>
      <c r="G98" s="163"/>
      <c r="H98" s="163"/>
      <c r="I98" s="172">
        <v>104251.29</v>
      </c>
      <c r="J98" s="172">
        <v>149787.6</v>
      </c>
      <c r="K98" s="172">
        <f>ROUND((I98-J98),5)</f>
        <v>-45536.31</v>
      </c>
      <c r="L98" s="136">
        <f>ROUND(IF(I98=0, IF(J98=0, 0, SIGN(-J98)), IF(J98=0, SIGN(I98), (I98-J98)/ABS(J98))),5)</f>
        <v>-0.30401</v>
      </c>
    </row>
    <row r="99" spans="1:12" ht="15.75" thickBot="1" x14ac:dyDescent="0.3">
      <c r="A99" s="163"/>
      <c r="B99" s="163"/>
      <c r="C99" s="163"/>
      <c r="D99" s="163"/>
      <c r="E99" s="163"/>
      <c r="F99" s="163" t="s">
        <v>7814</v>
      </c>
      <c r="G99" s="163"/>
      <c r="H99" s="163"/>
      <c r="I99" s="176">
        <v>67455.3</v>
      </c>
      <c r="J99" s="176">
        <v>3672.6</v>
      </c>
      <c r="K99" s="176">
        <f>ROUND((I99-J99),5)</f>
        <v>63782.7</v>
      </c>
      <c r="L99" s="138">
        <f>ROUND(IF(I99=0, IF(J99=0, 0, SIGN(-J99)), IF(J99=0, SIGN(I99), (I99-J99)/ABS(J99))),5)</f>
        <v>17.367180000000001</v>
      </c>
    </row>
    <row r="100" spans="1:12" x14ac:dyDescent="0.25">
      <c r="A100" s="163"/>
      <c r="B100" s="163"/>
      <c r="C100" s="163"/>
      <c r="D100" s="163"/>
      <c r="E100" s="163" t="s">
        <v>42</v>
      </c>
      <c r="F100" s="163"/>
      <c r="G100" s="163"/>
      <c r="H100" s="163"/>
      <c r="I100" s="172">
        <f>ROUND(SUM(I95:I99),5)</f>
        <v>666503.18999999994</v>
      </c>
      <c r="J100" s="172">
        <f>ROUND(SUM(J95:J99),5)</f>
        <v>509991.49</v>
      </c>
      <c r="K100" s="172">
        <f>ROUND((I100-J100),5)</f>
        <v>156511.70000000001</v>
      </c>
      <c r="L100" s="136">
        <f>ROUND(IF(I100=0, IF(J100=0, 0, SIGN(-J100)), IF(J100=0, SIGN(I100), (I100-J100)/ABS(J100))),5)</f>
        <v>0.30689</v>
      </c>
    </row>
    <row r="101" spans="1:12" x14ac:dyDescent="0.25">
      <c r="A101" s="163"/>
      <c r="B101" s="163"/>
      <c r="C101" s="163"/>
      <c r="D101" s="163"/>
      <c r="E101" s="163" t="s">
        <v>43</v>
      </c>
      <c r="F101" s="163"/>
      <c r="G101" s="163"/>
      <c r="H101" s="163"/>
      <c r="I101" s="172"/>
      <c r="J101" s="172"/>
      <c r="K101" s="172"/>
      <c r="L101" s="136"/>
    </row>
    <row r="102" spans="1:12" x14ac:dyDescent="0.25">
      <c r="A102" s="163"/>
      <c r="B102" s="163"/>
      <c r="C102" s="163"/>
      <c r="D102" s="163"/>
      <c r="E102" s="163"/>
      <c r="F102" s="163" t="s">
        <v>7712</v>
      </c>
      <c r="G102" s="163"/>
      <c r="H102" s="163"/>
      <c r="I102" s="172">
        <v>1569.06</v>
      </c>
      <c r="J102" s="172">
        <v>575</v>
      </c>
      <c r="K102" s="172">
        <f t="shared" ref="K102:K106" si="17">ROUND((I102-J102),5)</f>
        <v>994.06</v>
      </c>
      <c r="L102" s="136">
        <f t="shared" ref="L102:L106" si="18">ROUND(IF(I102=0, IF(J102=0, 0, SIGN(-J102)), IF(J102=0, SIGN(I102), (I102-J102)/ABS(J102))),5)</f>
        <v>1.7287999999999999</v>
      </c>
    </row>
    <row r="103" spans="1:12" x14ac:dyDescent="0.25">
      <c r="A103" s="163"/>
      <c r="B103" s="163"/>
      <c r="C103" s="163"/>
      <c r="D103" s="163"/>
      <c r="E103" s="163"/>
      <c r="F103" s="163" t="s">
        <v>7437</v>
      </c>
      <c r="G103" s="163"/>
      <c r="H103" s="163"/>
      <c r="I103" s="172">
        <v>1820.98</v>
      </c>
      <c r="J103" s="172">
        <v>524.15</v>
      </c>
      <c r="K103" s="172">
        <f t="shared" si="17"/>
        <v>1296.83</v>
      </c>
      <c r="L103" s="136">
        <f t="shared" si="18"/>
        <v>2.4741599999999999</v>
      </c>
    </row>
    <row r="104" spans="1:12" x14ac:dyDescent="0.25">
      <c r="A104" s="163"/>
      <c r="B104" s="163"/>
      <c r="C104" s="163"/>
      <c r="D104" s="163"/>
      <c r="E104" s="163"/>
      <c r="F104" s="163" t="s">
        <v>7438</v>
      </c>
      <c r="G104" s="163"/>
      <c r="H104" s="163"/>
      <c r="I104" s="172">
        <v>53086.12</v>
      </c>
      <c r="J104" s="172">
        <v>26548.15</v>
      </c>
      <c r="K104" s="172">
        <f t="shared" si="17"/>
        <v>26537.97</v>
      </c>
      <c r="L104" s="136">
        <f t="shared" si="18"/>
        <v>0.99961999999999995</v>
      </c>
    </row>
    <row r="105" spans="1:12" x14ac:dyDescent="0.25">
      <c r="A105" s="163"/>
      <c r="B105" s="163"/>
      <c r="C105" s="163"/>
      <c r="D105" s="163"/>
      <c r="E105" s="163"/>
      <c r="F105" s="163" t="s">
        <v>44</v>
      </c>
      <c r="G105" s="163"/>
      <c r="H105" s="163"/>
      <c r="I105" s="172">
        <v>81000</v>
      </c>
      <c r="J105" s="172">
        <v>90000</v>
      </c>
      <c r="K105" s="172">
        <f t="shared" si="17"/>
        <v>-9000</v>
      </c>
      <c r="L105" s="136">
        <f t="shared" si="18"/>
        <v>-0.1</v>
      </c>
    </row>
    <row r="106" spans="1:12" ht="15.75" thickBot="1" x14ac:dyDescent="0.3">
      <c r="A106" s="163"/>
      <c r="B106" s="163"/>
      <c r="C106" s="163"/>
      <c r="D106" s="163"/>
      <c r="E106" s="163"/>
      <c r="F106" s="163" t="s">
        <v>7504</v>
      </c>
      <c r="G106" s="163"/>
      <c r="H106" s="163"/>
      <c r="I106" s="176">
        <v>0</v>
      </c>
      <c r="J106" s="176">
        <v>1344.78</v>
      </c>
      <c r="K106" s="176">
        <f t="shared" si="17"/>
        <v>-1344.78</v>
      </c>
      <c r="L106" s="138">
        <f t="shared" si="18"/>
        <v>-1</v>
      </c>
    </row>
    <row r="107" spans="1:12" x14ac:dyDescent="0.25">
      <c r="A107" s="163"/>
      <c r="B107" s="163"/>
      <c r="C107" s="163"/>
      <c r="D107" s="163"/>
      <c r="E107" s="163" t="s">
        <v>45</v>
      </c>
      <c r="F107" s="163"/>
      <c r="G107" s="163"/>
      <c r="H107" s="163"/>
      <c r="I107" s="172">
        <f>ROUND(SUM(I101:I106),5)</f>
        <v>137476.16</v>
      </c>
      <c r="J107" s="172">
        <f>ROUND(SUM(J101:J106),5)</f>
        <v>118992.08</v>
      </c>
      <c r="K107" s="172">
        <f t="shared" ref="K107" si="19">ROUND((I107-J107),5)</f>
        <v>18484.080000000002</v>
      </c>
      <c r="L107" s="136">
        <f t="shared" ref="L107" si="20">ROUND(IF(I107=0, IF(J107=0, 0, SIGN(-J107)), IF(J107=0, SIGN(I107), (I107-J107)/ABS(J107))),5)</f>
        <v>0.15534000000000001</v>
      </c>
    </row>
    <row r="108" spans="1:12" x14ac:dyDescent="0.25">
      <c r="A108" s="163"/>
      <c r="B108" s="163"/>
      <c r="C108" s="163"/>
      <c r="D108" s="163"/>
      <c r="E108" s="163" t="s">
        <v>46</v>
      </c>
      <c r="F108" s="163"/>
      <c r="G108" s="163"/>
      <c r="H108" s="163"/>
      <c r="I108" s="172"/>
      <c r="J108" s="172"/>
      <c r="K108" s="172"/>
      <c r="L108" s="136"/>
    </row>
    <row r="109" spans="1:12" x14ac:dyDescent="0.25">
      <c r="A109" s="163"/>
      <c r="B109" s="163"/>
      <c r="C109" s="163"/>
      <c r="D109" s="163"/>
      <c r="E109" s="163"/>
      <c r="F109" s="163" t="s">
        <v>7858</v>
      </c>
      <c r="G109" s="163"/>
      <c r="H109" s="163"/>
      <c r="I109" s="172">
        <v>12000</v>
      </c>
      <c r="J109" s="172">
        <v>0</v>
      </c>
      <c r="K109" s="172">
        <f>ROUND((I109-J109),5)</f>
        <v>12000</v>
      </c>
      <c r="L109" s="136">
        <f>ROUND(IF(I109=0, IF(J109=0, 0, SIGN(-J109)), IF(J109=0, SIGN(I109), (I109-J109)/ABS(J109))),5)</f>
        <v>1</v>
      </c>
    </row>
    <row r="110" spans="1:12" ht="15.75" thickBot="1" x14ac:dyDescent="0.3">
      <c r="A110" s="163"/>
      <c r="B110" s="163"/>
      <c r="C110" s="163"/>
      <c r="D110" s="163"/>
      <c r="E110" s="163"/>
      <c r="F110" s="163" t="s">
        <v>7859</v>
      </c>
      <c r="G110" s="163"/>
      <c r="H110" s="163"/>
      <c r="I110" s="172">
        <v>14178.91</v>
      </c>
      <c r="J110" s="172">
        <v>9823.36</v>
      </c>
      <c r="K110" s="172">
        <f>ROUND((I110-J110),5)</f>
        <v>4355.55</v>
      </c>
      <c r="L110" s="136">
        <f>ROUND(IF(I110=0, IF(J110=0, 0, SIGN(-J110)), IF(J110=0, SIGN(I110), (I110-J110)/ABS(J110))),5)</f>
        <v>0.44339000000000001</v>
      </c>
    </row>
    <row r="111" spans="1:12" ht="15.75" thickBot="1" x14ac:dyDescent="0.3">
      <c r="A111" s="163"/>
      <c r="B111" s="163"/>
      <c r="C111" s="163"/>
      <c r="D111" s="163"/>
      <c r="E111" s="163" t="s">
        <v>7860</v>
      </c>
      <c r="F111" s="163"/>
      <c r="G111" s="163"/>
      <c r="H111" s="163"/>
      <c r="I111" s="180">
        <f>ROUND(SUM(I108:I110),5)</f>
        <v>26178.91</v>
      </c>
      <c r="J111" s="180">
        <f>ROUND(SUM(J108:J110),5)</f>
        <v>9823.36</v>
      </c>
      <c r="K111" s="180">
        <f t="shared" ref="K111:K114" si="21">ROUND((I111-J111),5)</f>
        <v>16355.55</v>
      </c>
      <c r="L111" s="135">
        <f t="shared" ref="L111:L114" si="22">ROUND(IF(I111=0, IF(J111=0, 0, SIGN(-J111)), IF(J111=0, SIGN(I111), (I111-J111)/ABS(J111))),5)</f>
        <v>1.66496</v>
      </c>
    </row>
    <row r="112" spans="1:12" ht="15.75" thickBot="1" x14ac:dyDescent="0.3">
      <c r="A112" s="163"/>
      <c r="B112" s="163"/>
      <c r="C112" s="163"/>
      <c r="D112" s="163" t="s">
        <v>47</v>
      </c>
      <c r="E112" s="163"/>
      <c r="F112" s="163"/>
      <c r="G112" s="163"/>
      <c r="H112" s="163"/>
      <c r="I112" s="180">
        <f>ROUND(SUM(I52:I53)+I59+SUM(I85:I88)+SUM(I93:I94)+I100+I107+I111,5)</f>
        <v>1196598.53</v>
      </c>
      <c r="J112" s="180">
        <f>ROUND(SUM(J52:J53)+J59+SUM(J85:J88)+SUM(J93:J94)+J100+J107+J111,5)</f>
        <v>843682.44</v>
      </c>
      <c r="K112" s="180">
        <f t="shared" si="21"/>
        <v>352916.09</v>
      </c>
      <c r="L112" s="135">
        <f t="shared" si="22"/>
        <v>0.41830000000000001</v>
      </c>
    </row>
    <row r="113" spans="1:12" ht="15.75" thickBot="1" x14ac:dyDescent="0.3">
      <c r="A113" s="163"/>
      <c r="B113" s="163" t="s">
        <v>48</v>
      </c>
      <c r="C113" s="163"/>
      <c r="D113" s="163"/>
      <c r="E113" s="163"/>
      <c r="F113" s="163"/>
      <c r="G113" s="163"/>
      <c r="H113" s="163"/>
      <c r="I113" s="180">
        <f>ROUND(I3+I51-I112,5)</f>
        <v>229331.42</v>
      </c>
      <c r="J113" s="180">
        <f>ROUND(J3+J51-J112,5)</f>
        <v>79990.14</v>
      </c>
      <c r="K113" s="180">
        <f t="shared" si="21"/>
        <v>149341.28</v>
      </c>
      <c r="L113" s="135">
        <f t="shared" si="22"/>
        <v>1.867</v>
      </c>
    </row>
    <row r="114" spans="1:12" s="2" customFormat="1" ht="12" thickBot="1" x14ac:dyDescent="0.25">
      <c r="A114" s="163" t="s">
        <v>49</v>
      </c>
      <c r="B114" s="163"/>
      <c r="C114" s="163"/>
      <c r="D114" s="163"/>
      <c r="E114" s="163"/>
      <c r="F114" s="163"/>
      <c r="G114" s="163"/>
      <c r="H114" s="163"/>
      <c r="I114" s="174">
        <f>I113</f>
        <v>229331.42</v>
      </c>
      <c r="J114" s="174">
        <f>J113</f>
        <v>79990.14</v>
      </c>
      <c r="K114" s="174">
        <f t="shared" si="21"/>
        <v>149341.28</v>
      </c>
      <c r="L114" s="134">
        <f t="shared" si="22"/>
        <v>1.867</v>
      </c>
    </row>
    <row r="115" spans="1:12" ht="15.75" thickTop="1" x14ac:dyDescent="0.25"/>
  </sheetData>
  <hyperlinks>
    <hyperlink ref="N2" location="Contents!A1" display="Contents" xr:uid="{530BB52A-4522-43F8-8D84-1A03AB657A12}"/>
  </hyperlinks>
  <pageMargins left="0.7" right="0.7" top="0.75" bottom="0.75" header="0.1" footer="0.3"/>
  <pageSetup orientation="portrait" r:id="rId1"/>
  <headerFooter>
    <oddHeader>&amp;L&amp;"Arial,Bold"&amp;8 9:58 PM
&amp;"Arial,Bold"&amp;8 10/19/22
&amp;"Arial,Bold"&amp;8 Accrual Basis&amp;C&amp;"Arial,Bold"&amp;12 OWASP Foundation
&amp;"Arial,Bold"&amp;14 Profit &amp;&amp; Loss Prev Year Comparison
&amp;"Arial,Bold"&amp;10 January through September 2022</oddHeader>
    <oddFooter>&amp;R&amp;"Arial,Bold"&amp;8 Page &amp;P of &amp;N</oddFooter>
  </headerFooter>
  <ignoredErrors>
    <ignoredError sqref="H1:J1 H21:J21 H89:J89 H86 H3:J4 H2 H5:H7 I10:J10 H11:J11 H12 H14:H20 H25:J34 H22:H24 H36:J37 H35 H41:J45 H38:H40 H59:J60 H46:H48 H49:J49 H57:H58 H53:H55 H67:J67 H61:H66 H71:J71 H68:H70 H78:J78 H72:H77 H83:J83 H79:H82 H85 H84 H87 H93:J95 H90:H92 H100:J100 H96:H99 H51:J52 H50 J85" formulaRange="1"/>
  </ignoredErrors>
  <drawing r:id="rId2"/>
  <legacyDrawing r:id="rId3"/>
  <controls>
    <mc:AlternateContent xmlns:mc="http://schemas.openxmlformats.org/markup-compatibility/2006">
      <mc:Choice Requires="x14">
        <control shapeId="11366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3665" r:id="rId4" name="FILTER"/>
      </mc:Fallback>
    </mc:AlternateContent>
    <mc:AlternateContent xmlns:mc="http://schemas.openxmlformats.org/markup-compatibility/2006">
      <mc:Choice Requires="x14">
        <control shapeId="11366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3666" r:id="rId6" name="HEADER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6.85546875" style="75" hidden="1" customWidth="1"/>
    <col min="12" max="12" width="8.7109375" style="75" hidden="1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.75" thickBot="1" x14ac:dyDescent="0.3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2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2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2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.75" thickBot="1" x14ac:dyDescent="0.3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2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2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.75" thickBot="1" x14ac:dyDescent="0.3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.75" thickBot="1" x14ac:dyDescent="0.3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2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2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.75" thickBot="1" x14ac:dyDescent="0.3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.75" thickBot="1" x14ac:dyDescent="0.3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.75" thickBot="1" x14ac:dyDescent="0.3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2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2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.75" thickBot="1" x14ac:dyDescent="0.3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.75" thickBot="1" x14ac:dyDescent="0.3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.75" thickBot="1" x14ac:dyDescent="0.3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.75" thickBot="1" x14ac:dyDescent="0.3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.75" thickBot="1" x14ac:dyDescent="0.3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2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2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.75" thickBot="1" x14ac:dyDescent="0.3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2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2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.75" thickBot="1" x14ac:dyDescent="0.3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2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2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25">
      <c r="A36" s="77"/>
      <c r="B36" s="77"/>
      <c r="C36" s="77"/>
      <c r="D36" s="77"/>
      <c r="E36" s="77"/>
      <c r="F36" s="77" t="s">
        <v>7714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2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2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2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.75" thickBot="1" x14ac:dyDescent="0.3">
      <c r="A40" s="77"/>
      <c r="B40" s="77"/>
      <c r="C40" s="77"/>
      <c r="D40" s="77"/>
      <c r="E40" s="77"/>
      <c r="F40" s="77"/>
      <c r="G40" s="77" t="s">
        <v>7713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.75" thickBot="1" x14ac:dyDescent="0.3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2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2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.75" thickBot="1" x14ac:dyDescent="0.3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.75" thickBot="1" x14ac:dyDescent="0.3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.75" thickBot="1" x14ac:dyDescent="0.3">
      <c r="A46" s="77"/>
      <c r="B46" s="77"/>
      <c r="C46" s="77"/>
      <c r="D46" s="77"/>
      <c r="E46" s="77" t="s">
        <v>7696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2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2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.75" thickBot="1" x14ac:dyDescent="0.3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2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2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25">
      <c r="A52" s="77"/>
      <c r="B52" s="77"/>
      <c r="C52" s="77"/>
      <c r="D52" s="77"/>
      <c r="E52" s="77"/>
      <c r="F52" s="77" t="s">
        <v>7712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.75" thickBot="1" x14ac:dyDescent="0.3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.75" thickBot="1" x14ac:dyDescent="0.3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.75" thickBot="1" x14ac:dyDescent="0.3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.75" thickBot="1" x14ac:dyDescent="0.3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2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25">
      <c r="A58" s="77"/>
      <c r="B58" s="77" t="s">
        <v>7711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.75" thickBot="1" x14ac:dyDescent="0.3">
      <c r="A59" s="77"/>
      <c r="B59" s="77"/>
      <c r="C59" s="77" t="s">
        <v>7710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.75" thickBot="1" x14ac:dyDescent="0.3">
      <c r="A60" s="77"/>
      <c r="B60" s="77"/>
      <c r="C60" s="77"/>
      <c r="D60" s="77" t="s">
        <v>7709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.75" thickBot="1" x14ac:dyDescent="0.3">
      <c r="A61" s="77"/>
      <c r="B61" s="77"/>
      <c r="C61" s="77" t="s">
        <v>7708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.75" thickBot="1" x14ac:dyDescent="0.3">
      <c r="A62" s="77"/>
      <c r="B62" s="77" t="s">
        <v>7707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.75" thickBot="1" x14ac:dyDescent="0.3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6.5" thickTop="1" thickBot="1" x14ac:dyDescent="0.3">
      <c r="K64" s="82">
        <v>0</v>
      </c>
      <c r="L64" s="82">
        <f t="shared" si="5"/>
        <v>0</v>
      </c>
    </row>
    <row r="65" spans="11:12" x14ac:dyDescent="0.25">
      <c r="K65" s="83">
        <f>ROUND(SUM(K61:K64),5)</f>
        <v>0</v>
      </c>
      <c r="L65" s="83">
        <f t="shared" si="5"/>
        <v>0</v>
      </c>
    </row>
    <row r="66" spans="11:12" ht="15.75" thickBot="1" x14ac:dyDescent="0.3">
      <c r="K66" s="83">
        <v>1575</v>
      </c>
      <c r="L66" s="83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style="75" bestFit="1" customWidth="1"/>
    <col min="9" max="9" width="16.85546875" style="75" bestFit="1" customWidth="1"/>
    <col min="10" max="10" width="8.7109375" style="75" bestFit="1" customWidth="1"/>
    <col min="11" max="11" width="19.7109375" style="75" hidden="1" customWidth="1"/>
    <col min="12" max="12" width="29.85546875" style="75" hidden="1" customWidth="1"/>
    <col min="13" max="14" width="9.140625" style="75"/>
    <col min="15" max="15" width="11.85546875" style="75" customWidth="1"/>
    <col min="16" max="17" width="9.140625" style="75"/>
    <col min="18" max="18" width="10" style="75" bestFit="1" customWidth="1"/>
    <col min="19" max="19" width="9.140625" style="75"/>
    <col min="20" max="20" width="10.85546875" style="75" bestFit="1" customWidth="1"/>
    <col min="21" max="16384" width="9.140625" style="75"/>
  </cols>
  <sheetData>
    <row r="1" spans="1:14" s="3" customFormat="1" ht="15.75" thickBot="1" x14ac:dyDescent="0.3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.75" thickTop="1" x14ac:dyDescent="0.2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2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2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2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2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.75" thickBot="1" x14ac:dyDescent="0.3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2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2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2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.75" thickBot="1" x14ac:dyDescent="0.3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2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2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.75" thickBot="1" x14ac:dyDescent="0.3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2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.75" thickBot="1" x14ac:dyDescent="0.3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2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.75" thickBot="1" x14ac:dyDescent="0.3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.75" thickBot="1" x14ac:dyDescent="0.3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.75" thickBot="1" x14ac:dyDescent="0.3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2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2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.75" thickBot="1" x14ac:dyDescent="0.3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2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2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.75" thickBot="1" x14ac:dyDescent="0.3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.75" thickBot="1" x14ac:dyDescent="0.3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.75" thickBot="1" x14ac:dyDescent="0.3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2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2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.75" thickBot="1" x14ac:dyDescent="0.3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2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.75" thickBot="1" x14ac:dyDescent="0.3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2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2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.75" thickBot="1" x14ac:dyDescent="0.3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2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.75" thickBot="1" x14ac:dyDescent="0.3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2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2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.75" thickBot="1" x14ac:dyDescent="0.3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2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.75" thickBot="1" x14ac:dyDescent="0.3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2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.75" thickBot="1" x14ac:dyDescent="0.3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2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2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2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2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.75" thickBot="1" x14ac:dyDescent="0.3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.75" thickBot="1" x14ac:dyDescent="0.3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2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.75" thickBot="1" x14ac:dyDescent="0.3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2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.75" thickBot="1" x14ac:dyDescent="0.3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.75" thickBot="1" x14ac:dyDescent="0.3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.75" thickBot="1" x14ac:dyDescent="0.3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.75" thickBot="1" x14ac:dyDescent="0.3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.75" thickBot="1" x14ac:dyDescent="0.3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2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2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.75" thickBot="1" x14ac:dyDescent="0.3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2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2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2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2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.75" thickBot="1" x14ac:dyDescent="0.3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2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.75" thickBot="1" x14ac:dyDescent="0.3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5" hidden="1" customWidth="1"/>
    <col min="11" max="11" width="16" style="75" customWidth="1"/>
    <col min="12" max="12" width="3" customWidth="1"/>
    <col min="13" max="13" width="15.28515625" customWidth="1"/>
  </cols>
  <sheetData>
    <row r="1" spans="1:13" ht="15.75" thickBot="1" x14ac:dyDescent="0.3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.75" thickTop="1" x14ac:dyDescent="0.2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2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2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2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2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.75" thickBot="1" x14ac:dyDescent="0.3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2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2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2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.75" thickBot="1" x14ac:dyDescent="0.3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.75" thickBot="1" x14ac:dyDescent="0.3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.75" thickBot="1" x14ac:dyDescent="0.3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2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.75" thickBot="1" x14ac:dyDescent="0.3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.75" thickBot="1" x14ac:dyDescent="0.3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.75" thickBot="1" x14ac:dyDescent="0.3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2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2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2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2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.75" thickBot="1" x14ac:dyDescent="0.3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.75" thickBot="1" x14ac:dyDescent="0.3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2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2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zoomScaleNormal="100" workbookViewId="0">
      <pane xSplit="4" topLeftCell="E1" activePane="topRight" state="frozen"/>
      <selection pane="topRight" activeCell="K1" sqref="K1"/>
    </sheetView>
  </sheetViews>
  <sheetFormatPr defaultColWidth="9.140625" defaultRowHeight="15" x14ac:dyDescent="0.25"/>
  <cols>
    <col min="1" max="1" width="4.140625" style="75" customWidth="1"/>
    <col min="2" max="2" width="11.5703125" style="75" customWidth="1"/>
    <col min="3" max="3" width="18.140625" style="75" customWidth="1"/>
    <col min="4" max="4" width="46.85546875" style="75" customWidth="1"/>
    <col min="5" max="5" width="18.5703125" style="75" customWidth="1"/>
    <col min="6" max="6" width="19.7109375" style="75" customWidth="1"/>
    <col min="7" max="7" width="16.7109375" style="75" customWidth="1"/>
    <col min="8" max="8" width="20.140625" style="75" customWidth="1"/>
    <col min="9" max="9" width="20.28515625" style="75" customWidth="1"/>
    <col min="10" max="10" width="18.140625" style="75" customWidth="1"/>
    <col min="11" max="12" width="16.7109375" style="75" customWidth="1"/>
    <col min="13" max="13" width="12.42578125" style="75" customWidth="1"/>
    <col min="14" max="16384" width="9.140625" style="75"/>
  </cols>
  <sheetData>
    <row r="1" spans="1:15" ht="17.25" thickTop="1" thickBot="1" x14ac:dyDescent="0.3">
      <c r="A1" s="36"/>
      <c r="B1" s="2"/>
      <c r="C1" s="36" t="s">
        <v>7893</v>
      </c>
      <c r="D1" s="37" t="s">
        <v>7798</v>
      </c>
      <c r="E1" s="38" t="s">
        <v>7862</v>
      </c>
      <c r="F1" s="38" t="s">
        <v>7862</v>
      </c>
      <c r="G1" s="141"/>
      <c r="H1" s="141"/>
      <c r="I1" s="141"/>
      <c r="J1" s="141"/>
      <c r="K1" s="39" t="s">
        <v>224</v>
      </c>
      <c r="O1" s="39"/>
    </row>
    <row r="2" spans="1:15" ht="22.5" thickTop="1" thickBot="1" x14ac:dyDescent="0.4">
      <c r="A2" s="37"/>
      <c r="B2" s="37"/>
      <c r="C2" s="40" t="s">
        <v>223</v>
      </c>
      <c r="D2" s="37" t="s">
        <v>225</v>
      </c>
      <c r="E2" s="38" t="s">
        <v>7835</v>
      </c>
      <c r="F2" s="38" t="s">
        <v>7799</v>
      </c>
      <c r="G2" s="38" t="s">
        <v>226</v>
      </c>
      <c r="H2" s="38" t="s">
        <v>7836</v>
      </c>
      <c r="I2" s="38" t="s">
        <v>7800</v>
      </c>
      <c r="J2" s="38" t="s">
        <v>227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'Oct 22 vs Oct 21 P&amp;L'!H11</f>
        <v>138555.5</v>
      </c>
      <c r="F5" s="42">
        <f>SUM('FY22 Approved Bud monthly '!P5:P27)</f>
        <v>665000</v>
      </c>
      <c r="G5" s="42">
        <f>E5-F5</f>
        <v>-526444.5</v>
      </c>
      <c r="H5" s="42">
        <f>'YTD US Profit and Loss'!I20</f>
        <v>587997.93000000005</v>
      </c>
      <c r="I5" s="42">
        <f>SUM('FY22 Approved Bud monthly '!T4:T23)</f>
        <v>1267500</v>
      </c>
      <c r="J5" s="42">
        <f>H5-I5</f>
        <v>-679502.07</v>
      </c>
      <c r="L5" s="43"/>
    </row>
    <row r="6" spans="1:15" ht="15.75" x14ac:dyDescent="0.25">
      <c r="A6" s="36"/>
      <c r="B6" s="36"/>
      <c r="C6" s="36"/>
      <c r="D6" s="36" t="s">
        <v>234</v>
      </c>
      <c r="E6" s="42">
        <f>'Oct 22 vs Oct 21 P&amp;L'!H15</f>
        <v>58184.07</v>
      </c>
      <c r="F6" s="42">
        <f>SUM('FY22 Approved Bud monthly '!P30:P31)</f>
        <v>45833.333333333328</v>
      </c>
      <c r="G6" s="42">
        <f>E6-F6</f>
        <v>12350.736666666671</v>
      </c>
      <c r="H6" s="42">
        <f>'YTD US Profit and Loss'!I25</f>
        <v>691608.42</v>
      </c>
      <c r="I6" s="42">
        <f>SUM('FY22 Approved Bud monthly '!T30:T31)</f>
        <v>458333.33333333337</v>
      </c>
      <c r="J6" s="42">
        <f t="shared" ref="J6:J10" si="0">H6-I6</f>
        <v>233275.08666666667</v>
      </c>
      <c r="K6" s="44"/>
    </row>
    <row r="7" spans="1:15" ht="15.75" x14ac:dyDescent="0.25">
      <c r="A7" s="36"/>
      <c r="B7" s="36"/>
      <c r="C7" s="36"/>
      <c r="D7" s="36" t="s">
        <v>228</v>
      </c>
      <c r="E7" s="42">
        <v>0</v>
      </c>
      <c r="F7" s="42">
        <f>SUM('FY22 Approved Bud monthly '!P35)</f>
        <v>0</v>
      </c>
      <c r="G7" s="42">
        <f>E7-F7</f>
        <v>0</v>
      </c>
      <c r="H7" s="42">
        <v>0</v>
      </c>
      <c r="I7" s="42">
        <v>0</v>
      </c>
      <c r="J7" s="42">
        <f t="shared" si="0"/>
        <v>0</v>
      </c>
      <c r="K7" s="44"/>
    </row>
    <row r="8" spans="1:15" ht="15.75" x14ac:dyDescent="0.25">
      <c r="A8" s="36"/>
      <c r="B8" s="36"/>
      <c r="C8" s="36"/>
      <c r="D8" s="36" t="s">
        <v>7818</v>
      </c>
      <c r="E8" s="42">
        <f>'Oct 22 vs Oct 21 P&amp;L'!H22+'Oct 22 vs Oct 21 P&amp;L'!H25+'Oct 22 vs Oct 21 P&amp;L'!H6</f>
        <v>24283.91</v>
      </c>
      <c r="F8" s="42">
        <f>SUM('FY22 Approved Bud monthly '!P33:P34)</f>
        <v>6666.666666666667</v>
      </c>
      <c r="G8" s="42">
        <f>E8-F8</f>
        <v>17617.243333333332</v>
      </c>
      <c r="H8" s="42">
        <f>'YTD US Profit and Loss'!I7+'YTD US Profit and Loss'!I10+'YTD US Profit and Loss'!I41+'YTD US Profit and Loss'!I49+'YTD US Profit and Loss'!I33</f>
        <v>144836.33000000002</v>
      </c>
      <c r="I8" s="42">
        <f>SUM('FY22 Approved Bud monthly '!T33:T34)+SUM('FY22 Approved Bud monthly '!T24)</f>
        <v>172666.66666666666</v>
      </c>
      <c r="J8" s="42">
        <f t="shared" si="0"/>
        <v>-27830.336666666641</v>
      </c>
      <c r="K8" s="44"/>
    </row>
    <row r="9" spans="1:15" ht="15.75" x14ac:dyDescent="0.25">
      <c r="A9" s="36"/>
      <c r="B9" s="36"/>
      <c r="C9" s="36"/>
      <c r="D9" s="36" t="s">
        <v>236</v>
      </c>
      <c r="E9" s="42">
        <f>'Oct 22 vs Oct 21 P&amp;L'!H17</f>
        <v>77.95</v>
      </c>
      <c r="F9" s="42">
        <f>SUM('FY22 Approved Bud monthly '!P35)</f>
        <v>0</v>
      </c>
      <c r="G9" s="42">
        <f>E9-F9</f>
        <v>77.95</v>
      </c>
      <c r="H9" s="42">
        <f>'YTD US Profit and Loss'!I35</f>
        <v>484.5</v>
      </c>
      <c r="I9" s="42">
        <f>'FY22 Approved Bud monthly '!T35</f>
        <v>3000</v>
      </c>
      <c r="J9" s="42">
        <f t="shared" si="0"/>
        <v>-2515.5</v>
      </c>
      <c r="K9" s="44"/>
    </row>
    <row r="10" spans="1:15" ht="16.5" thickBot="1" x14ac:dyDescent="0.3">
      <c r="A10" s="36"/>
      <c r="B10" s="36"/>
      <c r="C10" s="36"/>
      <c r="D10" s="36" t="s">
        <v>235</v>
      </c>
      <c r="E10" s="45">
        <f>'Oct 22 vs Oct 21 P&amp;L'!H5</f>
        <v>0.46</v>
      </c>
      <c r="F10" s="45">
        <f>'FY22 Approved Bud monthly '!P37</f>
        <v>0</v>
      </c>
      <c r="G10" s="45">
        <f>E10-F10</f>
        <v>0.46</v>
      </c>
      <c r="H10" s="45">
        <f>'YTD US Profit and Loss'!I5+'YTD US Profit and Loss'!I6</f>
        <v>1002.77</v>
      </c>
      <c r="I10" s="45">
        <f>'FY22 Approved Bud monthly '!T36</f>
        <v>30000</v>
      </c>
      <c r="J10" s="45">
        <f t="shared" si="0"/>
        <v>-28997.23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221101.89</v>
      </c>
      <c r="F11" s="46">
        <f t="shared" ref="E11:J11" si="1">SUM(F5:F10)</f>
        <v>717500</v>
      </c>
      <c r="G11" s="46">
        <f>SUM(G5:G10)</f>
        <v>-496398.10999999993</v>
      </c>
      <c r="H11" s="46">
        <f t="shared" si="1"/>
        <v>1425929.9500000002</v>
      </c>
      <c r="I11" s="46">
        <f t="shared" si="1"/>
        <v>1931500.0000000002</v>
      </c>
      <c r="J11" s="46">
        <f t="shared" si="1"/>
        <v>-505570.04999999993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7838</v>
      </c>
      <c r="E13" s="42">
        <v>0</v>
      </c>
      <c r="F13" s="42">
        <v>0</v>
      </c>
      <c r="G13" s="42">
        <f>E13-F13</f>
        <v>0</v>
      </c>
      <c r="H13" s="160">
        <v>0</v>
      </c>
      <c r="I13" s="42">
        <v>0</v>
      </c>
      <c r="J13" s="42">
        <f t="shared" ref="J13:J21" si="2">H13-I13</f>
        <v>0</v>
      </c>
      <c r="K13" s="44"/>
    </row>
    <row r="14" spans="1:15" ht="15.75" x14ac:dyDescent="0.25">
      <c r="A14" s="36"/>
      <c r="B14" s="36"/>
      <c r="C14" s="36"/>
      <c r="D14" s="49" t="s">
        <v>230</v>
      </c>
      <c r="E14" s="42">
        <f>'Oct 22 vs Oct 21 P&amp;L'!Q67+'Oct 22 vs Oct 21 P&amp;L'!H70</f>
        <v>15516.526400901326</v>
      </c>
      <c r="F14" s="42">
        <f>SUM('FY22 Approved Bud monthly '!P56:P67)</f>
        <v>21817.789199999999</v>
      </c>
      <c r="G14" s="42">
        <f>E14-F14</f>
        <v>-6301.262799098673</v>
      </c>
      <c r="H14" s="160">
        <f>'YTD US Profit and Loss'!I111+'YTD US Profit and Loss'!S77</f>
        <v>175371.13166122031</v>
      </c>
      <c r="I14" s="42">
        <f>SUM('FY22 Approved Bud monthly '!T57:T66)</f>
        <v>308177.89199999999</v>
      </c>
      <c r="J14" s="42">
        <f t="shared" si="2"/>
        <v>-132806.76033877968</v>
      </c>
      <c r="K14" s="44"/>
      <c r="L14" s="43"/>
    </row>
    <row r="15" spans="1:15" ht="15.75" x14ac:dyDescent="0.25">
      <c r="A15" s="36"/>
      <c r="B15" s="36"/>
      <c r="C15" s="36"/>
      <c r="D15" s="49" t="s">
        <v>233</v>
      </c>
      <c r="E15" s="42">
        <f>'Oct 22 vs Oct 21 P&amp;L'!Q66+'Oct 22 vs Oct 21 P&amp;L'!H52+'Oct 22 vs Oct 21 P&amp;L'!H53</f>
        <v>42400.268370215475</v>
      </c>
      <c r="F15" s="160">
        <f>'FY22 Approved Bud monthly '!P42+'FY22 Approved Bud monthly '!P48</f>
        <v>535213.33333333337</v>
      </c>
      <c r="G15" s="42">
        <f>E15-F15</f>
        <v>-492813.06496311788</v>
      </c>
      <c r="H15" s="160">
        <f>'YTD US Profit and Loss'!S76+'YTD US Profit and Loss'!I86</f>
        <v>268338.05228551058</v>
      </c>
      <c r="I15" s="42">
        <f>SUM('FY22 Approved Bud monthly '!T42:T54)</f>
        <v>791318.33333333337</v>
      </c>
      <c r="J15" s="42">
        <f t="shared" si="2"/>
        <v>-522980.28104782279</v>
      </c>
      <c r="K15" s="44"/>
    </row>
    <row r="16" spans="1:15" ht="15.75" x14ac:dyDescent="0.25">
      <c r="A16" s="36"/>
      <c r="B16" s="36"/>
      <c r="C16" s="36"/>
      <c r="D16" s="49" t="s">
        <v>162</v>
      </c>
      <c r="E16" s="42">
        <f>'Oct 22 vs Oct 21 P&amp;L'!Q68+'Oct 22 vs Oct 21 P&amp;L'!H32</f>
        <v>12416.441068523931</v>
      </c>
      <c r="F16" s="160">
        <f>'FY22 Approved Bud monthly '!P72+'FY22 Approved Bud monthly '!P75+'FY22 Approved Bud monthly '!P76</f>
        <v>9000.7762000000002</v>
      </c>
      <c r="G16" s="42">
        <f>E16-F16</f>
        <v>3415.6648685239306</v>
      </c>
      <c r="H16" s="160">
        <f>'YTD US Profit and Loss'!S78+'YTD US Profit and Loss'!I59-'YTD US Profit and Loss'!I57</f>
        <v>76328.258146786495</v>
      </c>
      <c r="I16" s="42">
        <f>SUM('FY22 Approved Bud monthly '!T69:T82)</f>
        <v>90007.761999999988</v>
      </c>
      <c r="J16" s="160">
        <f t="shared" si="2"/>
        <v>-13679.503853213493</v>
      </c>
      <c r="K16" s="44"/>
    </row>
    <row r="17" spans="1:16" ht="15.75" x14ac:dyDescent="0.25">
      <c r="A17" s="36"/>
      <c r="B17" s="36"/>
      <c r="C17" s="36"/>
      <c r="D17" s="49" t="s">
        <v>172</v>
      </c>
      <c r="E17" s="42">
        <f>'Oct 22 vs Oct 21 P&amp;L'!H58+'Oct 22 vs Oct 21 P&amp;L'!Q69</f>
        <v>9896.9230718065974</v>
      </c>
      <c r="F17" s="160">
        <f>SUM('FY22 Approved Bud monthly '!P84:P95)</f>
        <v>10555.965916666664</v>
      </c>
      <c r="G17" s="42">
        <f t="shared" ref="G17:G21" si="3">E17-F17</f>
        <v>-659.04284486006691</v>
      </c>
      <c r="H17" s="160">
        <f>'YTD US Profit and Loss'!S79+'YTD US Profit and Loss'!I93</f>
        <v>138004.15351308646</v>
      </c>
      <c r="I17" s="42">
        <f>SUM('FY22 Approved Bud monthly '!T85:T95)</f>
        <v>165559.65916666668</v>
      </c>
      <c r="J17" s="160">
        <f t="shared" si="2"/>
        <v>-27555.505653580214</v>
      </c>
      <c r="K17" s="44"/>
      <c r="L17" s="43"/>
    </row>
    <row r="18" spans="1:16" ht="15.75" x14ac:dyDescent="0.25">
      <c r="A18" s="36"/>
      <c r="B18" s="36"/>
      <c r="C18" s="36"/>
      <c r="D18" s="49" t="s">
        <v>177</v>
      </c>
      <c r="E18" s="42">
        <f>'Oct 22 vs Oct 21 P&amp;L'!Q70</f>
        <v>3700.0674903412046</v>
      </c>
      <c r="F18" s="160">
        <f>'FY22 Approved Bud monthly '!P101</f>
        <v>3805.2697666666659</v>
      </c>
      <c r="G18" s="42">
        <f t="shared" si="3"/>
        <v>-105.2022763254613</v>
      </c>
      <c r="H18" s="160">
        <f>'YTD US Profit and Loss'!S80+'YTD US Profit and Loss'!I57</f>
        <v>37857.301047085122</v>
      </c>
      <c r="I18" s="42">
        <f>SUM('FY22 Approved Bud monthly '!T96:T103)</f>
        <v>38052.697666666652</v>
      </c>
      <c r="J18" s="42">
        <f t="shared" si="2"/>
        <v>-195.3966195815301</v>
      </c>
      <c r="K18" s="44"/>
      <c r="L18" s="43"/>
      <c r="M18" s="43"/>
    </row>
    <row r="19" spans="1:16" ht="15.75" x14ac:dyDescent="0.25">
      <c r="A19" s="36"/>
      <c r="B19" s="36"/>
      <c r="C19" s="36"/>
      <c r="D19" s="49" t="s">
        <v>179</v>
      </c>
      <c r="E19" s="42">
        <f>'Oct 22 vs Oct 21 P&amp;L'!Q72</f>
        <v>4497.4142390950474</v>
      </c>
      <c r="F19" s="160">
        <f>'FY22 Approved Bud monthly '!P111</f>
        <v>4625.2871000000005</v>
      </c>
      <c r="G19" s="42">
        <f t="shared" si="3"/>
        <v>-127.87286090495309</v>
      </c>
      <c r="H19" s="160">
        <f>'YTD US Profit and Loss'!S82+'YTD US Profit and Loss'!I87</f>
        <v>53613.576855896594</v>
      </c>
      <c r="I19" s="42">
        <f>SUM('FY22 Approved Bud monthly '!T105:T111)</f>
        <v>46252.871000000006</v>
      </c>
      <c r="J19" s="42">
        <f t="shared" si="2"/>
        <v>7360.7058558965873</v>
      </c>
      <c r="K19" s="44"/>
    </row>
    <row r="20" spans="1:16" ht="15.75" x14ac:dyDescent="0.25">
      <c r="A20" s="36"/>
      <c r="B20" s="36"/>
      <c r="C20" s="36"/>
      <c r="D20" s="49" t="s">
        <v>7801</v>
      </c>
      <c r="E20" s="42">
        <f>'Oct 22 vs Oct 21 P&amp;L'!Q73+'Oct 22 vs Oct 21 P&amp;L'!H51+'Oct 22 vs Oct 21 P&amp;L'!H69</f>
        <v>41822.494411272659</v>
      </c>
      <c r="F20" s="160">
        <f>SUM('FY22 Approved Bud monthly '!P115:P131)-F21</f>
        <v>47143.042516666661</v>
      </c>
      <c r="G20" s="42">
        <f t="shared" si="3"/>
        <v>-5320.5481053940021</v>
      </c>
      <c r="H20" s="160">
        <f>'YTD US Profit and Loss'!I85+'YTD US Profit and Loss'!S83+'YTD US Profit and Loss'!I107+'YTD US Profit and Loss'!I94+'YTD US Profit and Loss'!I53</f>
        <v>390908.28763695905</v>
      </c>
      <c r="I20" s="42">
        <f>'FY22 Approved Bud monthly '!T116+'FY22 Approved Bud monthly '!T119+'FY22 Approved Bud monthly '!T120+'FY22 Approved Bud monthly '!T123+'FY22 Approved Bud monthly '!T125+'FY22 Approved Bud monthly '!T126+'FY22 Approved Bud monthly '!T128+'FY22 Approved Bud monthly '!T129+'FY22 Approved Bud monthly '!T130+'FY22 Approved Bud monthly '!T131+'FY22 Approved Bud monthly '!T127</f>
        <v>375430.42516666674</v>
      </c>
      <c r="J20" s="42">
        <f t="shared" si="2"/>
        <v>15477.862470292312</v>
      </c>
      <c r="K20" s="44"/>
    </row>
    <row r="21" spans="1:16" ht="16.5" thickBot="1" x14ac:dyDescent="0.3">
      <c r="A21" s="36"/>
      <c r="B21" s="36"/>
      <c r="C21" s="36"/>
      <c r="D21" s="49" t="s">
        <v>201</v>
      </c>
      <c r="E21" s="42">
        <f>'Oct 22 vs Oct 21 P&amp;L'!Q74</f>
        <v>5608.394947843768</v>
      </c>
      <c r="F21" s="160">
        <f>'FY22 Approved Bud monthly '!P124</f>
        <v>5767.8558000000003</v>
      </c>
      <c r="G21" s="42">
        <f t="shared" si="3"/>
        <v>-159.46085215623225</v>
      </c>
      <c r="H21" s="42">
        <f>'YTD US Profit and Loss'!S84</f>
        <v>56177.76885345536</v>
      </c>
      <c r="I21" s="42">
        <f>'FY22 Approved Bud monthly '!T124</f>
        <v>57678.55799999999</v>
      </c>
      <c r="J21" s="42">
        <f t="shared" si="2"/>
        <v>-1500.7891465446301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47">
        <f>SUM(E13:E21)</f>
        <v>135858.53</v>
      </c>
      <c r="F22" s="47">
        <f t="shared" ref="F22" si="4">SUM(F13:F21)</f>
        <v>637929.31983333337</v>
      </c>
      <c r="G22" s="47">
        <f>SUM(G13:G21)</f>
        <v>-502070.78983333329</v>
      </c>
      <c r="H22" s="47">
        <f>SUM(H13:H21)</f>
        <v>1196598.53</v>
      </c>
      <c r="I22" s="47">
        <f>SUM(I13:I21)</f>
        <v>1872478.1983333337</v>
      </c>
      <c r="J22" s="142">
        <f>SUM(J13:J21)</f>
        <v>-675879.66833333345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47">
        <f t="shared" ref="E23:J23" si="5">E11-E22</f>
        <v>85243.360000000015</v>
      </c>
      <c r="F23" s="47">
        <f t="shared" si="5"/>
        <v>79570.680166666629</v>
      </c>
      <c r="G23" s="47">
        <f t="shared" si="5"/>
        <v>5672.6798333333572</v>
      </c>
      <c r="H23" s="47">
        <f t="shared" si="5"/>
        <v>229331.42000000016</v>
      </c>
      <c r="I23" s="47">
        <f t="shared" si="5"/>
        <v>59021.801666666521</v>
      </c>
      <c r="J23" s="143">
        <f t="shared" si="5"/>
        <v>170309.61833333352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44">
        <f>E23</f>
        <v>85243.360000000015</v>
      </c>
      <c r="F24" s="144">
        <f>F23</f>
        <v>79570.680166666629</v>
      </c>
      <c r="G24" s="144">
        <f>E24-F24</f>
        <v>5672.6798333333863</v>
      </c>
      <c r="H24" s="144">
        <f>H23</f>
        <v>229331.42000000016</v>
      </c>
      <c r="I24" s="144">
        <f>I23</f>
        <v>59021.801666666521</v>
      </c>
      <c r="J24" s="145">
        <f>H24-I24</f>
        <v>170309.61833333364</v>
      </c>
      <c r="K24" s="2"/>
      <c r="L24" s="48"/>
      <c r="P24" s="43"/>
    </row>
    <row r="25" spans="1:16" ht="16.5" thickTop="1" x14ac:dyDescent="0.25">
      <c r="A25" s="49"/>
      <c r="B25" s="49"/>
      <c r="C25" s="49"/>
      <c r="D25" s="49"/>
      <c r="E25" s="50"/>
      <c r="F25" s="50"/>
      <c r="G25" s="50"/>
      <c r="H25" s="50"/>
      <c r="I25" s="50"/>
      <c r="J25" s="50"/>
      <c r="L25" s="43"/>
    </row>
    <row r="26" spans="1:16" x14ac:dyDescent="0.25">
      <c r="E26" s="43"/>
      <c r="H26" s="43">
        <f>H22-'YTD US Profit and Loss'!I112</f>
        <v>0</v>
      </c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I28" s="43"/>
    </row>
    <row r="29" spans="1:16" x14ac:dyDescent="0.25">
      <c r="E29" s="43"/>
      <c r="F29" s="43"/>
      <c r="H29" s="43"/>
      <c r="J29" s="43"/>
    </row>
    <row r="30" spans="1:16" x14ac:dyDescent="0.25">
      <c r="H30" s="43"/>
      <c r="I30" s="43"/>
    </row>
    <row r="31" spans="1:16" x14ac:dyDescent="0.25">
      <c r="F31" s="43"/>
      <c r="H31" s="43"/>
    </row>
    <row r="32" spans="1:16" x14ac:dyDescent="0.25">
      <c r="F32" s="43"/>
      <c r="H32" s="43"/>
      <c r="J32" s="43"/>
    </row>
    <row r="33" spans="6:8" x14ac:dyDescent="0.25">
      <c r="F33" s="43"/>
    </row>
    <row r="34" spans="6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  <ds:schemaRef ds:uri="http://schemas.microsoft.com/sharepoint/v3"/>
    <ds:schemaRef ds:uri="4b2fc3e3-4049-4520-9bc5-99ad76a257ee"/>
    <ds:schemaRef ds:uri="993ae820-dc91-4153-84ef-2e299ded01b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Contents</vt:lpstr>
      <vt:lpstr>US Balance Sheet Year over Year</vt:lpstr>
      <vt:lpstr>Balance Sheet Summary</vt:lpstr>
      <vt:lpstr>Oct 22 vs Oct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6.22 APSEC P&amp;L</vt:lpstr>
      <vt:lpstr>FY22 approved Bud</vt:lpstr>
      <vt:lpstr>FY22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'Oct 22 vs Oct 21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2022-11-21T16:11:09Z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