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drawings/drawing5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drawings/drawing6.xml" ContentType="application/vnd.openxmlformats-officedocument.drawing+xml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8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drawings/drawing9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drawings/drawing10.xml" ContentType="application/vnd.openxmlformats-officedocument.drawing+xml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drawings/drawing11.xml" ContentType="application/vnd.openxmlformats-officedocument.drawing+xml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drawings/drawing12.xml" ContentType="application/vnd.openxmlformats-officedocument.drawing+xml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drawings/drawing13.xml" ContentType="application/vnd.openxmlformats-officedocument.drawing+xml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0" documentId="8_{CA92DDBC-E5D8-4BF5-A7CF-AE507BD13539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June 22  vs June 21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25" r:id="rId11"/>
    <sheet name="Open AP" sheetId="26" r:id="rId12"/>
    <sheet name="Open AR" sheetId="27" r:id="rId13"/>
    <sheet name="FY21 APPROVED Budget by month" sheetId="6" state="hidden" r:id="rId14"/>
    <sheet name="6.22 APSEC P&amp;L" sheetId="32" r:id="rId15"/>
    <sheet name="FY 22 approved Bud" sheetId="29" r:id="rId16"/>
    <sheet name="FY 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7" l="1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C32" i="27"/>
  <c r="D32" i="27"/>
  <c r="H32" i="27" s="1"/>
  <c r="E32" i="27"/>
  <c r="F32" i="27"/>
  <c r="G32" i="27"/>
  <c r="H2" i="26"/>
  <c r="H3" i="26"/>
  <c r="H4" i="26"/>
  <c r="H5" i="26"/>
  <c r="H6" i="26"/>
  <c r="H7" i="26"/>
  <c r="H8" i="26"/>
  <c r="H9" i="26"/>
  <c r="H10" i="26"/>
  <c r="H11" i="26"/>
  <c r="H12" i="26"/>
  <c r="H13" i="26"/>
  <c r="C14" i="26"/>
  <c r="D14" i="26"/>
  <c r="E14" i="26"/>
  <c r="H14" i="26" s="1"/>
  <c r="F14" i="26"/>
  <c r="G14" i="26"/>
  <c r="O91" i="17"/>
  <c r="I20" i="31" l="1"/>
  <c r="I19" i="31"/>
  <c r="I18" i="31"/>
  <c r="I17" i="31"/>
  <c r="I16" i="31"/>
  <c r="I15" i="31"/>
  <c r="I14" i="31"/>
  <c r="I13" i="31"/>
  <c r="I8" i="31"/>
  <c r="I10" i="31"/>
  <c r="I9" i="31"/>
  <c r="I6" i="31"/>
  <c r="I5" i="3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7" i="30"/>
  <c r="H19" i="31"/>
  <c r="H20" i="31"/>
  <c r="H18" i="31"/>
  <c r="H17" i="31"/>
  <c r="H16" i="31"/>
  <c r="H15" i="31"/>
  <c r="H14" i="31"/>
  <c r="H13" i="31"/>
  <c r="H8" i="31"/>
  <c r="H10" i="31"/>
  <c r="H9" i="31"/>
  <c r="E5" i="31"/>
  <c r="E8" i="31"/>
  <c r="E6" i="31"/>
  <c r="H6" i="31"/>
  <c r="H5" i="31"/>
  <c r="F19" i="31"/>
  <c r="F20" i="31"/>
  <c r="F18" i="31"/>
  <c r="F17" i="31"/>
  <c r="F16" i="31"/>
  <c r="F15" i="31"/>
  <c r="F14" i="31"/>
  <c r="F13" i="31"/>
  <c r="F10" i="31"/>
  <c r="F9" i="31"/>
  <c r="F8" i="31"/>
  <c r="F6" i="31"/>
  <c r="F5" i="31"/>
  <c r="L7" i="30"/>
  <c r="E20" i="31"/>
  <c r="E19" i="31"/>
  <c r="E18" i="31"/>
  <c r="E17" i="31"/>
  <c r="E16" i="31"/>
  <c r="E15" i="31"/>
  <c r="E14" i="31"/>
  <c r="E13" i="31"/>
  <c r="E10" i="31"/>
  <c r="E9" i="31"/>
  <c r="I75" i="17"/>
  <c r="H53" i="16"/>
  <c r="J53" i="16" s="1"/>
  <c r="I74" i="17"/>
  <c r="G67" i="4"/>
  <c r="H52" i="16"/>
  <c r="O26" i="32"/>
  <c r="N22" i="32"/>
  <c r="N23" i="32" s="1"/>
  <c r="M22" i="32"/>
  <c r="M23" i="32" s="1"/>
  <c r="L22" i="32"/>
  <c r="L23" i="32" s="1"/>
  <c r="N17" i="32"/>
  <c r="M17" i="32"/>
  <c r="L17" i="32"/>
  <c r="N14" i="32"/>
  <c r="N24" i="32" s="1"/>
  <c r="P24" i="32" s="1"/>
  <c r="M14" i="32"/>
  <c r="L14" i="32"/>
  <c r="N8" i="32"/>
  <c r="N9" i="32" s="1"/>
  <c r="N10" i="32" s="1"/>
  <c r="N7" i="32"/>
  <c r="M7" i="32"/>
  <c r="M8" i="32" s="1"/>
  <c r="M9" i="32" s="1"/>
  <c r="M10" i="32" s="1"/>
  <c r="L7" i="32"/>
  <c r="L8" i="32" s="1"/>
  <c r="L9" i="32" s="1"/>
  <c r="L10" i="32" s="1"/>
  <c r="F18" i="25"/>
  <c r="F27" i="25" s="1"/>
  <c r="F29" i="25" s="1"/>
  <c r="F26" i="25"/>
  <c r="R69" i="17"/>
  <c r="R70" i="17"/>
  <c r="R71" i="17"/>
  <c r="R72" i="17"/>
  <c r="R73" i="17"/>
  <c r="R74" i="17"/>
  <c r="R75" i="17"/>
  <c r="R68" i="17"/>
  <c r="K5" i="17"/>
  <c r="L5" i="17"/>
  <c r="K6" i="17"/>
  <c r="L6" i="17"/>
  <c r="K7" i="17"/>
  <c r="L7" i="17"/>
  <c r="K9" i="17"/>
  <c r="L9" i="17"/>
  <c r="K10" i="17"/>
  <c r="L10" i="17"/>
  <c r="K11" i="17"/>
  <c r="L11" i="17"/>
  <c r="K12" i="17"/>
  <c r="L12" i="17"/>
  <c r="K13" i="17"/>
  <c r="L13" i="17"/>
  <c r="K14" i="17"/>
  <c r="L14" i="17"/>
  <c r="I15" i="17"/>
  <c r="K15" i="17" s="1"/>
  <c r="J15" i="17"/>
  <c r="L15" i="17" s="1"/>
  <c r="K17" i="17"/>
  <c r="L17" i="17"/>
  <c r="K18" i="17"/>
  <c r="L18" i="17"/>
  <c r="K19" i="17"/>
  <c r="L19" i="17"/>
  <c r="I20" i="17"/>
  <c r="K20" i="17" s="1"/>
  <c r="J20" i="17"/>
  <c r="L20" i="17"/>
  <c r="K24" i="17"/>
  <c r="L24" i="17"/>
  <c r="I25" i="17"/>
  <c r="K25" i="17" s="1"/>
  <c r="J25" i="17"/>
  <c r="J26" i="17" s="1"/>
  <c r="J27" i="17" s="1"/>
  <c r="J42" i="17" s="1"/>
  <c r="J43" i="17" s="1"/>
  <c r="I26" i="17"/>
  <c r="I27" i="17"/>
  <c r="K27" i="17" s="1"/>
  <c r="K29" i="17"/>
  <c r="L29" i="17"/>
  <c r="I30" i="17"/>
  <c r="J30" i="17"/>
  <c r="K30" i="17"/>
  <c r="L30" i="17"/>
  <c r="K32" i="17"/>
  <c r="L32" i="17"/>
  <c r="K33" i="17"/>
  <c r="L33" i="17"/>
  <c r="K34" i="17"/>
  <c r="L34" i="17"/>
  <c r="I35" i="17"/>
  <c r="K35" i="17" s="1"/>
  <c r="J35" i="17"/>
  <c r="K37" i="17"/>
  <c r="L37" i="17"/>
  <c r="I38" i="17"/>
  <c r="J38" i="17"/>
  <c r="K38" i="17"/>
  <c r="L38" i="17"/>
  <c r="K40" i="17"/>
  <c r="L40" i="17"/>
  <c r="I41" i="17"/>
  <c r="K41" i="17" s="1"/>
  <c r="J41" i="17"/>
  <c r="I42" i="17"/>
  <c r="K42" i="17" s="1"/>
  <c r="I43" i="17"/>
  <c r="K43" i="17" s="1"/>
  <c r="K46" i="17"/>
  <c r="L46" i="17"/>
  <c r="K47" i="17"/>
  <c r="L47" i="17"/>
  <c r="K48" i="17"/>
  <c r="L48" i="17"/>
  <c r="K49" i="17"/>
  <c r="L49" i="17"/>
  <c r="I50" i="17"/>
  <c r="K50" i="17" s="1"/>
  <c r="J50" i="17"/>
  <c r="K52" i="17"/>
  <c r="L52" i="17"/>
  <c r="K53" i="17"/>
  <c r="L53" i="17"/>
  <c r="K54" i="17"/>
  <c r="L54" i="17"/>
  <c r="K55" i="17"/>
  <c r="L55" i="17"/>
  <c r="K56" i="17"/>
  <c r="L56" i="17"/>
  <c r="K58" i="17"/>
  <c r="L58" i="17"/>
  <c r="K59" i="17"/>
  <c r="L59" i="17"/>
  <c r="K60" i="17"/>
  <c r="L60" i="17"/>
  <c r="I61" i="17"/>
  <c r="K61" i="17" s="1"/>
  <c r="J61" i="17"/>
  <c r="L61" i="17" s="1"/>
  <c r="K62" i="17"/>
  <c r="L62" i="17"/>
  <c r="K63" i="17"/>
  <c r="L63" i="17"/>
  <c r="K64" i="17"/>
  <c r="L64" i="17"/>
  <c r="K65" i="17"/>
  <c r="L65" i="17"/>
  <c r="K66" i="17"/>
  <c r="L66" i="17"/>
  <c r="K68" i="17"/>
  <c r="L68" i="17"/>
  <c r="K69" i="17"/>
  <c r="L69" i="17"/>
  <c r="K70" i="17"/>
  <c r="L70" i="17"/>
  <c r="I71" i="17"/>
  <c r="K71" i="17" s="1"/>
  <c r="J71" i="17"/>
  <c r="L71" i="17" s="1"/>
  <c r="K72" i="17"/>
  <c r="L72" i="17"/>
  <c r="K74" i="17"/>
  <c r="L74" i="17"/>
  <c r="K75" i="17"/>
  <c r="L75" i="17"/>
  <c r="K76" i="17"/>
  <c r="L76" i="17"/>
  <c r="K77" i="17"/>
  <c r="L77" i="17"/>
  <c r="K79" i="17"/>
  <c r="L79" i="17"/>
  <c r="K80" i="17"/>
  <c r="L80" i="17"/>
  <c r="K81" i="17"/>
  <c r="L81" i="17"/>
  <c r="K82" i="17"/>
  <c r="L82" i="17"/>
  <c r="I83" i="17"/>
  <c r="J83" i="17"/>
  <c r="K83" i="17" s="1"/>
  <c r="L83" i="17"/>
  <c r="K85" i="17"/>
  <c r="L85" i="17"/>
  <c r="K86" i="17"/>
  <c r="L86" i="17"/>
  <c r="K87" i="17"/>
  <c r="L87" i="17"/>
  <c r="K88" i="17"/>
  <c r="L88" i="17"/>
  <c r="K89" i="17"/>
  <c r="L89" i="17"/>
  <c r="I90" i="17"/>
  <c r="K90" i="17" s="1"/>
  <c r="J90" i="17"/>
  <c r="L90" i="17" s="1"/>
  <c r="K91" i="17"/>
  <c r="L91" i="17"/>
  <c r="J5" i="16"/>
  <c r="K5" i="16"/>
  <c r="J6" i="16"/>
  <c r="K6" i="16"/>
  <c r="J7" i="16"/>
  <c r="K7" i="16"/>
  <c r="J9" i="16"/>
  <c r="K9" i="16"/>
  <c r="J10" i="16"/>
  <c r="K10" i="16"/>
  <c r="J11" i="16"/>
  <c r="K11" i="16"/>
  <c r="J12" i="16"/>
  <c r="K12" i="16"/>
  <c r="H13" i="16"/>
  <c r="I13" i="16"/>
  <c r="J15" i="16"/>
  <c r="K15" i="16"/>
  <c r="J16" i="16"/>
  <c r="K16" i="16"/>
  <c r="H17" i="16"/>
  <c r="H28" i="16" s="1"/>
  <c r="I17" i="16"/>
  <c r="J19" i="16"/>
  <c r="K19" i="16"/>
  <c r="H20" i="16"/>
  <c r="J20" i="16" s="1"/>
  <c r="I20" i="16"/>
  <c r="J22" i="16"/>
  <c r="K22" i="16"/>
  <c r="J23" i="16"/>
  <c r="K23" i="16"/>
  <c r="H24" i="16"/>
  <c r="J24" i="16" s="1"/>
  <c r="I24" i="16"/>
  <c r="J26" i="16"/>
  <c r="K26" i="16"/>
  <c r="H27" i="16"/>
  <c r="I27" i="16"/>
  <c r="I28" i="16"/>
  <c r="I29" i="16" s="1"/>
  <c r="J31" i="16"/>
  <c r="K31" i="16"/>
  <c r="J33" i="16"/>
  <c r="K33" i="16"/>
  <c r="J34" i="16"/>
  <c r="K34" i="16"/>
  <c r="J35" i="16"/>
  <c r="K35" i="16"/>
  <c r="J36" i="16"/>
  <c r="K36" i="16"/>
  <c r="J37" i="16"/>
  <c r="K37" i="16"/>
  <c r="J39" i="16"/>
  <c r="K39" i="16"/>
  <c r="J40" i="16"/>
  <c r="K40" i="16"/>
  <c r="H41" i="16"/>
  <c r="I41" i="16"/>
  <c r="K41" i="16" s="1"/>
  <c r="J42" i="16"/>
  <c r="K42" i="16"/>
  <c r="J43" i="16"/>
  <c r="K43" i="16"/>
  <c r="J44" i="16"/>
  <c r="K44" i="16"/>
  <c r="J46" i="16"/>
  <c r="K46" i="16"/>
  <c r="J47" i="16"/>
  <c r="K47" i="16"/>
  <c r="J48" i="16"/>
  <c r="K48" i="16"/>
  <c r="H49" i="16"/>
  <c r="J49" i="16" s="1"/>
  <c r="I49" i="16"/>
  <c r="J50" i="16"/>
  <c r="K50" i="16"/>
  <c r="J52" i="16"/>
  <c r="K52" i="16"/>
  <c r="K53" i="16"/>
  <c r="J54" i="16"/>
  <c r="K54" i="16"/>
  <c r="J56" i="16"/>
  <c r="K56" i="16"/>
  <c r="J57" i="16"/>
  <c r="K57" i="16"/>
  <c r="J58" i="16"/>
  <c r="K58" i="16"/>
  <c r="J59" i="16"/>
  <c r="K59" i="16"/>
  <c r="H60" i="16"/>
  <c r="J60" i="16" s="1"/>
  <c r="I60" i="16"/>
  <c r="J62" i="16"/>
  <c r="K62" i="16"/>
  <c r="J63" i="16"/>
  <c r="K63" i="16"/>
  <c r="J64" i="16"/>
  <c r="K64" i="16"/>
  <c r="H65" i="16"/>
  <c r="K65" i="16" s="1"/>
  <c r="I65" i="16"/>
  <c r="J66" i="16"/>
  <c r="K66" i="16"/>
  <c r="I6" i="4"/>
  <c r="J6" i="4"/>
  <c r="I7" i="4"/>
  <c r="J7" i="4"/>
  <c r="I8" i="4"/>
  <c r="J8" i="4"/>
  <c r="I9" i="4"/>
  <c r="J9" i="4"/>
  <c r="G10" i="4"/>
  <c r="I10" i="4" s="1"/>
  <c r="H10" i="4"/>
  <c r="J10" i="4"/>
  <c r="I12" i="4"/>
  <c r="J12" i="4"/>
  <c r="G13" i="4"/>
  <c r="I13" i="4" s="1"/>
  <c r="H13" i="4"/>
  <c r="H17" i="4" s="1"/>
  <c r="I15" i="4"/>
  <c r="J15" i="4"/>
  <c r="G16" i="4"/>
  <c r="H16" i="4"/>
  <c r="I16" i="4"/>
  <c r="J16" i="4"/>
  <c r="I20" i="4"/>
  <c r="J20" i="4"/>
  <c r="I21" i="4"/>
  <c r="J21" i="4"/>
  <c r="G22" i="4"/>
  <c r="H22" i="4"/>
  <c r="I22" i="4"/>
  <c r="J22" i="4"/>
  <c r="I24" i="4"/>
  <c r="J24" i="4"/>
  <c r="I25" i="4"/>
  <c r="J25" i="4"/>
  <c r="G26" i="4"/>
  <c r="H26" i="4"/>
  <c r="I26" i="4"/>
  <c r="J26" i="4"/>
  <c r="G27" i="4"/>
  <c r="H27" i="4"/>
  <c r="I27" i="4"/>
  <c r="J27" i="4"/>
  <c r="I29" i="4"/>
  <c r="J29" i="4"/>
  <c r="I31" i="4"/>
  <c r="J31" i="4"/>
  <c r="I32" i="4"/>
  <c r="J32" i="4"/>
  <c r="I33" i="4"/>
  <c r="J33" i="4"/>
  <c r="I34" i="4"/>
  <c r="J34" i="4"/>
  <c r="I35" i="4"/>
  <c r="J35" i="4"/>
  <c r="I36" i="4"/>
  <c r="J36" i="4"/>
  <c r="G37" i="4"/>
  <c r="I37" i="4" s="1"/>
  <c r="H37" i="4"/>
  <c r="H38" i="4" s="1"/>
  <c r="I44" i="4"/>
  <c r="J44" i="4"/>
  <c r="G45" i="4"/>
  <c r="G62" i="4" s="1"/>
  <c r="H45" i="4"/>
  <c r="I47" i="4"/>
  <c r="J47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G59" i="4"/>
  <c r="J59" i="4" s="1"/>
  <c r="H59" i="4"/>
  <c r="H61" i="4" s="1"/>
  <c r="H62" i="4" s="1"/>
  <c r="H63" i="4" s="1"/>
  <c r="H69" i="4" s="1"/>
  <c r="I59" i="4"/>
  <c r="I60" i="4"/>
  <c r="J60" i="4"/>
  <c r="G61" i="4"/>
  <c r="J61" i="4" s="1"/>
  <c r="I65" i="4"/>
  <c r="J65" i="4"/>
  <c r="I66" i="4"/>
  <c r="J66" i="4"/>
  <c r="I67" i="4"/>
  <c r="J67" i="4"/>
  <c r="G68" i="4"/>
  <c r="J68" i="4" s="1"/>
  <c r="H68" i="4"/>
  <c r="J28" i="16" l="1"/>
  <c r="H29" i="16"/>
  <c r="P62" i="16"/>
  <c r="K20" i="16"/>
  <c r="J13" i="16"/>
  <c r="P65" i="16"/>
  <c r="P61" i="16"/>
  <c r="P58" i="16"/>
  <c r="J65" i="16"/>
  <c r="K60" i="16"/>
  <c r="J41" i="16"/>
  <c r="J27" i="16"/>
  <c r="K24" i="16"/>
  <c r="J17" i="16"/>
  <c r="P64" i="16"/>
  <c r="P60" i="16"/>
  <c r="K49" i="16"/>
  <c r="P63" i="16"/>
  <c r="P59" i="16"/>
  <c r="G38" i="4"/>
  <c r="I68" i="4"/>
  <c r="L24" i="32"/>
  <c r="L25" i="32" s="1"/>
  <c r="L26" i="32" s="1"/>
  <c r="P10" i="32"/>
  <c r="N25" i="32"/>
  <c r="N26" i="32" s="1"/>
  <c r="P26" i="32" s="1"/>
  <c r="M24" i="32"/>
  <c r="M25" i="32" s="1"/>
  <c r="M26" i="32" s="1"/>
  <c r="K26" i="17"/>
  <c r="J73" i="17"/>
  <c r="J92" i="17" s="1"/>
  <c r="J93" i="17" s="1"/>
  <c r="L50" i="17"/>
  <c r="L43" i="17"/>
  <c r="L42" i="17"/>
  <c r="L41" i="17"/>
  <c r="L35" i="17"/>
  <c r="L27" i="17"/>
  <c r="L26" i="17"/>
  <c r="L25" i="17"/>
  <c r="I73" i="17"/>
  <c r="K29" i="16"/>
  <c r="J29" i="16"/>
  <c r="I51" i="16"/>
  <c r="I67" i="16" s="1"/>
  <c r="I68" i="16" s="1"/>
  <c r="K28" i="16"/>
  <c r="K27" i="16"/>
  <c r="K17" i="16"/>
  <c r="K13" i="16"/>
  <c r="H51" i="16"/>
  <c r="H39" i="4"/>
  <c r="I38" i="4"/>
  <c r="G63" i="4"/>
  <c r="I62" i="4"/>
  <c r="J62" i="4"/>
  <c r="J45" i="4"/>
  <c r="I61" i="4"/>
  <c r="I45" i="4"/>
  <c r="J38" i="4"/>
  <c r="J37" i="4"/>
  <c r="J13" i="4"/>
  <c r="G17" i="4"/>
  <c r="I92" i="17" l="1"/>
  <c r="L73" i="17"/>
  <c r="K73" i="17"/>
  <c r="K51" i="16"/>
  <c r="J51" i="16"/>
  <c r="H67" i="16"/>
  <c r="J17" i="4"/>
  <c r="I17" i="4"/>
  <c r="G39" i="4"/>
  <c r="J63" i="4"/>
  <c r="I63" i="4"/>
  <c r="G69" i="4"/>
  <c r="I93" i="17" l="1"/>
  <c r="L92" i="17"/>
  <c r="K92" i="17"/>
  <c r="J67" i="16"/>
  <c r="K67" i="16"/>
  <c r="H68" i="16"/>
  <c r="I39" i="4"/>
  <c r="J39" i="4"/>
  <c r="J69" i="4"/>
  <c r="I69" i="4"/>
  <c r="K93" i="17" l="1"/>
  <c r="L93" i="17"/>
  <c r="J68" i="16"/>
  <c r="K68" i="16"/>
  <c r="P66" i="16" l="1"/>
  <c r="K11" i="31" l="1"/>
  <c r="G10" i="31"/>
  <c r="J9" i="31"/>
  <c r="G9" i="31"/>
  <c r="G7" i="31"/>
  <c r="J10" i="31" l="1"/>
  <c r="H11" i="31"/>
  <c r="J5" i="31"/>
  <c r="E11" i="31"/>
  <c r="G5" i="31"/>
  <c r="G146" i="29" l="1"/>
  <c r="G145" i="29"/>
  <c r="G144" i="29"/>
  <c r="G143" i="29"/>
  <c r="G142" i="29"/>
  <c r="G141" i="29"/>
  <c r="G140" i="29"/>
  <c r="G139" i="29"/>
  <c r="G138" i="29"/>
  <c r="R76" i="17" l="1"/>
  <c r="E21" i="31"/>
  <c r="E22" i="31" s="1"/>
  <c r="E23" i="31" s="1"/>
  <c r="H21" i="31" l="1"/>
  <c r="H22" i="31" l="1"/>
  <c r="H23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F72" i="30"/>
  <c r="G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O38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H134" i="30" l="1"/>
  <c r="AU134" i="30" s="1"/>
  <c r="BL127" i="30"/>
  <c r="AS9" i="30"/>
  <c r="G88" i="30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AT88" i="30"/>
  <c r="BL88" i="30" s="1"/>
  <c r="S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BC133" i="30" l="1"/>
  <c r="BL9" i="30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F36" i="30"/>
  <c r="AS36" i="30" s="1"/>
  <c r="BL36" i="30" s="1"/>
  <c r="F65" i="30"/>
  <c r="G65" i="30" s="1"/>
  <c r="F123" i="30"/>
  <c r="F130" i="30"/>
  <c r="F12" i="30"/>
  <c r="L12" i="30" s="1"/>
  <c r="S12" i="30" s="1"/>
  <c r="F91" i="30"/>
  <c r="F7" i="30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F111" i="30"/>
  <c r="G111" i="30" s="1"/>
  <c r="S128" i="30" l="1"/>
  <c r="J18" i="31"/>
  <c r="G18" i="31"/>
  <c r="G13" i="31"/>
  <c r="J17" i="31"/>
  <c r="G17" i="31"/>
  <c r="J15" i="31"/>
  <c r="G15" i="31"/>
  <c r="G124" i="30"/>
  <c r="AS124" i="30"/>
  <c r="AS33" i="30"/>
  <c r="BL33" i="30" s="1"/>
  <c r="G33" i="30"/>
  <c r="AS30" i="30"/>
  <c r="G30" i="30"/>
  <c r="AS123" i="30"/>
  <c r="G123" i="30"/>
  <c r="S101" i="30"/>
  <c r="V101" i="30"/>
  <c r="AS18" i="30"/>
  <c r="Q18" i="30"/>
  <c r="AS91" i="30"/>
  <c r="G91" i="30"/>
  <c r="V111" i="30"/>
  <c r="S111" i="30"/>
  <c r="S46" i="30"/>
  <c r="V46" i="30"/>
  <c r="F129" i="30"/>
  <c r="G129" i="30" s="1"/>
  <c r="G34" i="30"/>
  <c r="AS34" i="30"/>
  <c r="S76" i="30"/>
  <c r="V76" i="30"/>
  <c r="Y82" i="30" s="1"/>
  <c r="G131" i="30"/>
  <c r="AS131" i="30"/>
  <c r="G42" i="30"/>
  <c r="F133" i="30"/>
  <c r="AS133" i="30" s="1"/>
  <c r="F38" i="30"/>
  <c r="AS7" i="30"/>
  <c r="AS130" i="30"/>
  <c r="G130" i="30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J14" i="31" l="1"/>
  <c r="S129" i="30"/>
  <c r="J7" i="31"/>
  <c r="G14" i="31"/>
  <c r="J16" i="31"/>
  <c r="G16" i="31"/>
  <c r="G6" i="31"/>
  <c r="J13" i="31"/>
  <c r="J20" i="31"/>
  <c r="G20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G19" i="31" l="1"/>
  <c r="G21" i="31" s="1"/>
  <c r="J6" i="31"/>
  <c r="I11" i="31"/>
  <c r="F21" i="31"/>
  <c r="F22" i="31" s="1"/>
  <c r="F23" i="31" s="1"/>
  <c r="G23" i="31" s="1"/>
  <c r="J8" i="31"/>
  <c r="G8" i="31"/>
  <c r="G11" i="31" s="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BL133" i="30" l="1"/>
  <c r="BL38" i="30"/>
  <c r="J11" i="31"/>
  <c r="G22" i="31"/>
  <c r="J19" i="31"/>
  <c r="J21" i="31" s="1"/>
  <c r="I21" i="31"/>
  <c r="I22" i="31" s="1"/>
  <c r="I23" i="31" s="1"/>
  <c r="J23" i="31" s="1"/>
  <c r="AT134" i="30"/>
  <c r="BL134" i="30" s="1"/>
  <c r="V134" i="30"/>
  <c r="S134" i="30"/>
  <c r="J22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<sst xmlns="http://schemas.openxmlformats.org/spreadsheetml/2006/main" count="33349" uniqueCount="7877">
  <si>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</si>
  <si>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</si>
  <si>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</si>
  <si>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</si>
  <si>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</si>
  <si>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</si>
  <si>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</si>
  <si>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</si>
  <si>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</si>
  <si>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</si>
  <si>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</si>
  <si>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</si>
  <si>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</si>
  <si>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</si>
  <si>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</si>
  <si>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</si>
  <si>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</si>
  <si>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</si>
  <si>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</si>
  <si>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</si>
  <si>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</si>
  <si>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</si>
  <si>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</si>
  <si>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</si>
  <si>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</si>
  <si>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</si>
  <si>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</si>
  <si>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</si>
  <si>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</si>
  <si>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</si>
  <si>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</si>
  <si>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</si>
  <si>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</si>
  <si>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</si>
  <si>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</si>
  <si>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</si>
  <si>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</si>
  <si>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</si>
  <si>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</si>
  <si>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</si>
  <si>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</si>
  <si>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</si>
  <si>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</si>
  <si>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</si>
  <si>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</si>
  <si>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</si>
  <si>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</si>
  <si>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</si>
  <si>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</si>
  <si>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</si>
  <si>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</si>
  <si>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</si>
  <si>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</si>
  <si>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</si>
  <si>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</si>
  <si>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</si>
  <si>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</si>
  <si>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</si>
  <si>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</si>
  <si>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</si>
  <si>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</si>
  <si>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</si>
  <si>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</si>
  <si>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</si>
  <si>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</si>
  <si>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</si>
  <si>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</si>
  <si>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</si>
  <si>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</si>
  <si>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</si>
  <si>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</si>
  <si>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</si>
  <si>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</si>
  <si>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</si>
  <si>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</si>
  <si>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</si>
  <si>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</si>
  <si>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</si>
  <si>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</si>
  <si>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</si>
  <si>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</si>
  <si>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</si>
  <si>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</si>
  <si>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</si>
  <si>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</si>
  <si>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</si>
  <si>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</si>
  <si>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</si>
  <si>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</si>
  <si>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</si>
  <si>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</si>
  <si>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</si>
  <si>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</si>
  <si>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</si>
  <si>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</si>
  <si>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</si>
  <si>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</si>
  <si>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</si>
  <si>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</si>
  <si>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</si>
  <si>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</si>
  <si>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</si>
  <si>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</si>
  <si>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</si>
  <si>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</si>
  <si>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</si>
  <si>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</si>
  <si>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</si>
  <si>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</si>
  <si>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</si>
  <si>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</si>
  <si>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</si>
  <si>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</si>
  <si>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</si>
  <si>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</si>
  <si>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</si>
  <si>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</si>
  <si>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</si>
  <si>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</si>
  <si>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</si>
  <si>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</si>
  <si>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</si>
  <si>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</si>
  <si>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</si>
  <si>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</si>
  <si>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</si>
  <si>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</si>
  <si>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</si>
  <si>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</si>
  <si>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</si>
  <si>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</si>
  <si>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</si>
  <si>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</si>
  <si>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</si>
  <si>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</si>
  <si>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</si>
  <si>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</si>
  <si>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</si>
  <si>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</si>
  <si>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</si>
  <si>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</si>
  <si>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</si>
  <si>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</si>
  <si>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</si>
  <si>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</si>
  <si>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</si>
  <si>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</si>
  <si>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</si>
  <si>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</si>
  <si>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</si>
  <si>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</si>
  <si>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</si>
  <si>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</si>
  <si>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</si>
  <si>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</si>
  <si>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</si>
  <si>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</si>
  <si>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</si>
  <si>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</si>
  <si>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</si>
  <si>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</si>
  <si>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</si>
  <si>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</si>
  <si>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</si>
  <si>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</si>
  <si>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</si>
  <si>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</si>
  <si>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</si>
  <si>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</si>
  <si>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</si>
  <si>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</si>
  <si>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</si>
  <si>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</si>
  <si>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</si>
  <si>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</si>
  <si>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</si>
  <si>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</si>
  <si>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</si>
  <si>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</si>
  <si>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</si>
  <si>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</si>
  <si>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</si>
  <si>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</si>
  <si>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</si>
  <si>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</si>
  <si>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</si>
  <si>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</si>
  <si>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</si>
  <si>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</si>
  <si>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</si>
  <si>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</si>
  <si>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</si>
  <si>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</si>
  <si>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</si>
  <si>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</si>
  <si>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</si>
  <si>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</si>
  <si>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</si>
  <si>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</si>
  <si>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</si>
  <si>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</si>
  <si>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</si>
  <si>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</si>
  <si>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</si>
  <si>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</si>
  <si>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</si>
  <si>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</si>
  <si>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</si>
  <si>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</si>
  <si>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</si>
  <si>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</si>
  <si>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</si>
  <si>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</si>
  <si>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</si>
  <si>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</si>
  <si>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</si>
  <si>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</si>
  <si>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</si>
  <si>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</si>
  <si>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</si>
  <si>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</si>
  <si>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</si>
  <si>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</si>
  <si>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</si>
  <si>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</si>
  <si>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</si>
  <si>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</si>
  <si>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</si>
  <si>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</si>
  <si>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</si>
  <si>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</si>
  <si>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</si>
  <si>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</si>
  <si>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</si>
  <si>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</si>
  <si>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</si>
  <si>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</si>
  <si>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</si>
  <si>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</si>
  <si>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</si>
  <si>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</si>
  <si>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</si>
  <si>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</si>
  <si>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</si>
  <si>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</si>
  <si>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</si>
  <si>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</si>
  <si>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</si>
  <si>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</si>
  <si>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</si>
  <si>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</si>
  <si>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</si>
  <si>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</si>
  <si>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</si>
  <si>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</si>
  <si>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</si>
  <si>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</si>
  <si>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</si>
  <si>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</si>
  <si>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</si>
  <si>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</si>
  <si>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</si>
  <si>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</si>
  <si>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</si>
  <si>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</si>
  <si>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</si>
  <si>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</si>
  <si>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</si>
  <si>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</si>
  <si>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</si>
  <si>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</si>
  <si>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</si>
  <si>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</si>
  <si>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</si>
  <si>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</si>
  <si>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</si>
  <si>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</si>
  <si>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</si>
  <si>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</si>
  <si>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</si>
  <si>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</si>
  <si>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</si>
  <si>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</si>
  <si>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</si>
  <si>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</si>
  <si>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</si>
  <si>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</si>
  <si>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</si>
  <si>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</si>
  <si>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</si>
  <si>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</si>
  <si>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</si>
  <si>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</si>
  <si>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</si>
  <si>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</si>
  <si>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</si>
  <si>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</si>
  <si>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</si>
  <si>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</si>
  <si>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</si>
  <si>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</si>
  <si>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</si>
  <si>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</si>
  <si>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</si>
  <si>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</si>
  <si>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</si>
  <si>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</si>
  <si>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</si>
  <si>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</si>
  <si>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</si>
  <si>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</si>
  <si>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</si>
  <si>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</si>
  <si>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</si>
  <si>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</si>
  <si>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</si>
  <si>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</si>
  <si>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</si>
  <si>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</si>
  <si>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</si>
  <si>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</si>
  <si>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</si>
  <si>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</si>
  <si>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</si>
  <si>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</si>
  <si>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</si>
  <si>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</si>
  <si>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</si>
  <si>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</si>
  <si>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</si>
  <si>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</si>
  <si>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</si>
  <si>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</si>
  <si>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</si>
  <si>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</si>
  <si>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</si>
  <si>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</si>
  <si>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</si>
  <si>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</si>
  <si>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</si>
  <si>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</si>
  <si>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</si>
  <si>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</si>
  <si>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</si>
  <si>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</si>
  <si>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</si>
  <si>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</si>
  <si>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</si>
  <si>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</si>
  <si>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</si>
  <si>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</si>
  <si>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</si>
  <si>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</si>
  <si>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</si>
  <si>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</si>
  <si>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</si>
  <si>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</si>
  <si>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</si>
  <si>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</si>
  <si>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</si>
  <si>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</si>
  <si>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</si>
  <si>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</si>
  <si>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</si>
  <si>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</si>
  <si>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</si>
  <si>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</si>
  <si>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</si>
  <si>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</si>
  <si>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</si>
  <si>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</si>
  <si>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</si>
  <si>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</si>
  <si>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</si>
  <si>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</si>
  <si>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</si>
  <si>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</si>
  <si>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</si>
  <si>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</si>
  <si>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</si>
  <si>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</si>
  <si>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</si>
  <si>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</si>
  <si>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</si>
  <si>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</si>
  <si>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</si>
  <si>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</si>
  <si>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</si>
  <si>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</si>
  <si>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</si>
  <si>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</si>
  <si>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</si>
  <si>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</si>
  <si>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</si>
  <si>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</si>
  <si>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</si>
  <si>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</si>
  <si>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</si>
  <si>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</si>
  <si>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</si>
  <si>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</si>
  <si>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</si>
  <si>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</si>
  <si>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</si>
  <si>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</si>
  <si>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</si>
  <si>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</si>
  <si>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</si>
  <si>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</si>
  <si>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</si>
  <si>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</si>
  <si>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</si>
  <si>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</si>
  <si>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</si>
  <si>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</si>
  <si>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</si>
  <si>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</si>
  <si>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</si>
  <si>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</si>
  <si>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</si>
  <si>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</si>
  <si>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</si>
  <si>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</si>
  <si>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</si>
  <si>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</si>
  <si>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</si>
  <si>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</si>
  <si>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</si>
  <si>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</si>
  <si>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</si>
  <si>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</si>
  <si>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</si>
  <si>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</si>
  <si>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</si>
  <si>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</si>
  <si>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</si>
  <si>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</si>
  <si>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</si>
  <si>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</si>
  <si>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</si>
  <si>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</si>
  <si>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</si>
  <si>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</si>
  <si>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</si>
  <si>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</si>
  <si>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</si>
  <si>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</si>
  <si>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</si>
  <si>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</si>
  <si>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</si>
  <si>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</si>
  <si>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</si>
  <si>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</si>
  <si>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</si>
  <si>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</si>
  <si>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</si>
  <si>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</si>
  <si>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</si>
  <si>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</si>
  <si>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</si>
  <si>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</si>
  <si>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</si>
  <si>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</si>
  <si>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</si>
  <si>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</si>
  <si>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</si>
  <si>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</si>
  <si>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</si>
  <si>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</si>
  <si>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</si>
  <si>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</si>
  <si>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</si>
  <si>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</si>
  <si>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</si>
  <si>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</si>
  <si>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</si>
  <si>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</si>
  <si>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</si>
  <si>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</si>
  <si>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</si>
  <si>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</si>
  <si>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</si>
  <si>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</si>
  <si>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</si>
  <si>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</si>
  <si>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</si>
  <si>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</si>
  <si>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</si>
  <si>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</si>
  <si>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</si>
  <si>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</si>
  <si>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</si>
  <si>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</si>
  <si>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</si>
  <si>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</si>
  <si>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</si>
  <si>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</si>
  <si>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</si>
  <si>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</si>
  <si>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</si>
  <si>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</si>
  <si>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</si>
  <si>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</si>
  <si>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</si>
  <si>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</si>
  <si>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</si>
  <si>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</si>
  <si>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</si>
  <si>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</si>
  <si>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</si>
  <si>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</si>
  <si>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</si>
  <si>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</si>
  <si>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</si>
  <si>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</si>
  <si>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</si>
  <si>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</si>
  <si>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</si>
  <si>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</si>
  <si>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</si>
  <si>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</si>
  <si>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</si>
  <si>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</si>
  <si>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</si>
  <si>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</si>
  <si>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</si>
  <si>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</si>
  <si>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</si>
  <si>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</si>
  <si>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</si>
  <si>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</si>
  <si>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</si>
  <si>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</si>
  <si>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</si>
  <si>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</si>
  <si>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</si>
  <si>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</si>
  <si>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</si>
  <si>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</si>
  <si>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</si>
  <si>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</si>
  <si>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</si>
  <si>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</si>
  <si>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</si>
  <si>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</si>
  <si>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</si>
  <si>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</si>
  <si>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</si>
  <si>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</si>
  <si>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</si>
  <si>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</si>
  <si>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</si>
  <si>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</si>
  <si>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</si>
  <si>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</si>
  <si>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</si>
  <si>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</si>
  <si>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</si>
  <si>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</si>
  <si>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</si>
  <si>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</si>
  <si>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</si>
  <si>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</si>
  <si>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</si>
  <si>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</si>
  <si>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</si>
  <si>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</si>
  <si>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</si>
  <si>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</si>
  <si>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</si>
  <si>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</si>
  <si>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</si>
  <si>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</si>
  <si>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</si>
  <si>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</si>
  <si>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</si>
  <si>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</si>
  <si>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</si>
  <si>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</si>
  <si>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</si>
  <si>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</si>
  <si>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</si>
  <si>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</si>
  <si>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</si>
  <si>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</si>
  <si>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</si>
  <si>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</si>
  <si>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</si>
  <si>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</si>
  <si>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</si>
  <si>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</si>
  <si>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</si>
  <si>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</si>
  <si>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</si>
  <si>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</si>
  <si>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</si>
  <si>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</si>
  <si>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</si>
  <si>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</si>
  <si>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</si>
  <si>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</si>
  <si>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</si>
  <si>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</si>
  <si>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</si>
  <si>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</si>
  <si>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</si>
  <si>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</si>
  <si>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</si>
  <si>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</si>
  <si>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</si>
  <si>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</si>
  <si>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</si>
  <si>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</si>
  <si>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</si>
  <si>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</si>
  <si>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</si>
  <si>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</si>
  <si>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</si>
  <si>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</si>
  <si>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</si>
  <si>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</si>
  <si>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</si>
  <si>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</si>
  <si>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</si>
  <si>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</si>
  <si>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</si>
  <si>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</si>
  <si>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</si>
  <si>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</si>
  <si>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</si>
  <si>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</si>
  <si>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</si>
  <si>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</si>
  <si>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</si>
  <si>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</si>
  <si>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</si>
  <si>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</si>
  <si>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</si>
  <si>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</si>
  <si>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</si>
  <si>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</si>
  <si>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</si>
  <si>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</si>
  <si>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</si>
  <si>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</si>
  <si>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</si>
  <si>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</si>
  <si>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</si>
  <si>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</si>
  <si>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</si>
  <si>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</si>
  <si>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</si>
  <si>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</si>
  <si>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</si>
  <si>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</si>
  <si>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</si>
  <si>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</si>
  <si>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</si>
  <si>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</si>
  <si>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</si>
  <si>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</si>
  <si>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</si>
  <si>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</si>
  <si>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</si>
  <si>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</si>
  <si>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</si>
  <si>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</si>
  <si>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</si>
  <si>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</si>
  <si>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</si>
  <si>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</si>
  <si>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</si>
  <si>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</si>
  <si>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</si>
  <si>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</si>
  <si>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</si>
  <si>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</si>
  <si>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</si>
  <si>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</si>
  <si>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</si>
  <si>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</si>
  <si>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</si>
  <si>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</si>
  <si>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</si>
  <si>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</si>
  <si>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</si>
  <si>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</si>
  <si>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</si>
  <si>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</si>
  <si>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</si>
  <si>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</si>
  <si>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</si>
  <si>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</si>
  <si>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</si>
  <si>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</si>
  <si>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</si>
  <si>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</si>
  <si>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</si>
  <si>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</si>
  <si>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</si>
  <si>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</si>
  <si>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</si>
  <si>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</si>
  <si>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</si>
  <si>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</si>
  <si>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</si>
  <si>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</si>
  <si>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</si>
  <si>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</si>
  <si>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</si>
  <si>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</si>
  <si>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</si>
  <si>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</si>
  <si>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</si>
  <si>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</si>
  <si>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</si>
  <si>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</si>
  <si>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</si>
  <si>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</si>
  <si>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</si>
  <si>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</si>
  <si>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</si>
  <si>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</si>
  <si>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</si>
  <si>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</si>
  <si>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</si>
  <si>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</si>
  <si>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</si>
  <si>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</si>
  <si>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</si>
  <si>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</si>
  <si>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</si>
  <si>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</si>
  <si>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</si>
  <si>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</si>
  <si>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</si>
  <si>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</si>
  <si>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</si>
  <si>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</si>
  <si>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</si>
  <si>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</si>
  <si>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</si>
  <si>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</si>
  <si>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</si>
  <si>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</si>
  <si>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</si>
  <si>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</si>
  <si>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</si>
  <si>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</si>
  <si>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</si>
  <si>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</si>
  <si>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</si>
  <si>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</si>
  <si>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</si>
  <si>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</si>
  <si>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</si>
  <si>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</si>
  <si>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</si>
  <si>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</si>
  <si>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</si>
  <si>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</si>
  <si>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</si>
  <si>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</si>
  <si>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</si>
  <si>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</si>
  <si>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</si>
  <si>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</si>
  <si>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</si>
  <si>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</si>
  <si>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</si>
  <si>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</si>
  <si>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</si>
  <si>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</si>
  <si>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</si>
  <si>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</si>
  <si>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</si>
  <si>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</si>
  <si>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</si>
  <si>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</si>
  <si>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</si>
  <si>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</si>
  <si>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</si>
  <si>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</si>
  <si>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</si>
  <si>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</si>
  <si>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</si>
  <si>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</si>
  <si>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</si>
  <si>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</si>
  <si>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</si>
  <si>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</si>
  <si>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</si>
  <si>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</si>
  <si>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</si>
  <si>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</si>
  <si>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</si>
  <si>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</si>
  <si>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</si>
  <si>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</si>
  <si>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</si>
  <si>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</si>
  <si>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</si>
  <si>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</si>
  <si>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</si>
  <si>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</si>
  <si>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</si>
  <si>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</si>
  <si>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</si>
  <si>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</si>
  <si>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</si>
  <si>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</si>
  <si>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</si>
  <si>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</si>
  <si>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</si>
  <si>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</si>
  <si>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</si>
  <si>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</si>
  <si>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</si>
  <si>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</si>
  <si>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</si>
  <si>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</si>
  <si>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</si>
  <si>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</si>
  <si>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</si>
  <si>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</si>
  <si>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</si>
  <si>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</si>
  <si>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</si>
  <si>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</si>
  <si>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</si>
  <si>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</si>
  <si>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</si>
  <si>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</si>
  <si>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</si>
  <si>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</si>
  <si>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</si>
  <si>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</si>
  <si>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</si>
  <si>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</si>
  <si>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</si>
  <si>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</si>
  <si>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</si>
  <si>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</si>
  <si>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</si>
  <si>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</si>
  <si>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</si>
  <si>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</si>
  <si>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</si>
  <si>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</si>
  <si>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</si>
  <si>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</si>
  <si>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</si>
  <si>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</si>
  <si>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</si>
  <si>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</si>
  <si>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</si>
  <si>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</si>
  <si>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</si>
  <si>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</si>
  <si>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</si>
  <si>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</si>
  <si>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</si>
  <si>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</si>
  <si>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</si>
  <si>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</si>
  <si>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</si>
  <si>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</si>
  <si>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</si>
  <si>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</si>
  <si>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</si>
  <si>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</si>
  <si>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</si>
  <si>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</si>
  <si>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</si>
  <si>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</si>
  <si>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</si>
  <si>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</si>
  <si>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</si>
  <si>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</si>
  <si>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</si>
  <si>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</si>
  <si>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</si>
  <si>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</si>
  <si>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</si>
  <si>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</si>
  <si>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</si>
  <si>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</si>
  <si>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</si>
  <si>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</si>
  <si>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</si>
  <si>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</si>
  <si>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</si>
  <si>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</si>
  <si>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</si>
  <si>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</si>
  <si>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</si>
  <si>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</si>
  <si>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</si>
  <si>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</si>
  <si>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</si>
  <si>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</si>
  <si>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</si>
  <si>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</si>
  <si>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</si>
  <si>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</si>
  <si>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</si>
  <si>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</si>
  <si>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</si>
  <si>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</si>
  <si>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</si>
  <si>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</si>
  <si>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</si>
  <si>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</si>
  <si>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</si>
  <si>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</si>
  <si>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</si>
  <si>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</si>
  <si>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</si>
  <si>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</si>
  <si>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</si>
  <si>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</si>
  <si>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</si>
  <si>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</si>
  <si>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</si>
  <si>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</si>
  <si>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</si>
  <si>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</si>
  <si>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</si>
  <si>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</si>
  <si>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</si>
  <si>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</si>
  <si>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</si>
  <si>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</si>
  <si>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</si>
  <si>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</si>
  <si>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</si>
  <si>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</si>
  <si>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</si>
  <si>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</si>
  <si>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</si>
  <si>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</si>
  <si>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</si>
  <si>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</si>
  <si>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</si>
  <si>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</si>
  <si>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</si>
  <si>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</si>
  <si>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</si>
  <si>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</si>
  <si>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</si>
  <si>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</si>
  <si>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</si>
  <si>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</si>
  <si>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</si>
  <si>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</si>
  <si>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</si>
  <si>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</si>
  <si>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</si>
  <si>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</si>
  <si>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</si>
  <si>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</si>
  <si>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</si>
  <si>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</si>
  <si>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</si>
  <si>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</si>
  <si>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</si>
  <si>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</si>
  <si>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</si>
  <si>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</si>
  <si>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</si>
  <si>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</si>
  <si>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</si>
  <si>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</si>
  <si>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</si>
  <si>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</si>
  <si>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</si>
  <si>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</si>
  <si>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</si>
  <si>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</si>
  <si>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</si>
  <si>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</si>
  <si>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</si>
  <si>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</si>
  <si>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</si>
  <si>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</si>
  <si>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</si>
  <si>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</si>
  <si>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</si>
  <si>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</si>
  <si>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</si>
  <si>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</si>
  <si>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</si>
  <si>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</si>
  <si>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</si>
  <si>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</si>
  <si>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</si>
  <si>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</si>
  <si>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</si>
  <si>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</si>
  <si>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</si>
  <si>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</si>
  <si>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</si>
  <si>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</si>
  <si>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</si>
  <si>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</si>
  <si>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</si>
  <si>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</si>
  <si>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</si>
  <si>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</si>
  <si>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</si>
  <si>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</si>
  <si>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</si>
  <si>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</si>
  <si>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</si>
  <si>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</si>
  <si>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</si>
  <si>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</si>
  <si>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</si>
  <si>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</si>
  <si>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</si>
  <si>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</si>
  <si>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</si>
  <si>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</si>
  <si>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</si>
  <si>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</si>
  <si>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</si>
  <si>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</si>
  <si>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</si>
  <si>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</si>
  <si>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</si>
  <si>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</si>
  <si>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</si>
  <si>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</si>
  <si>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</si>
  <si>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</si>
  <si>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</si>
  <si>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</si>
  <si>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</si>
  <si>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</si>
  <si>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</si>
  <si>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</si>
  <si>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</si>
  <si>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</si>
  <si>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</si>
  <si>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</si>
  <si>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</si>
  <si>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</si>
  <si>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</si>
  <si>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</si>
  <si>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</si>
  <si>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</si>
  <si>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</si>
  <si>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</si>
  <si>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</si>
  <si>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</si>
  <si>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</si>
  <si>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</si>
  <si>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</si>
  <si>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</si>
  <si>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</si>
  <si>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</si>
  <si>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</si>
  <si>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</si>
  <si>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</si>
  <si>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</si>
  <si>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</si>
  <si>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</si>
  <si>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</si>
  <si>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</si>
  <si>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</si>
  <si>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</si>
  <si>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</si>
  <si>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</si>
  <si>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</si>
  <si>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</si>
  <si>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</si>
  <si>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</si>
  <si>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</si>
  <si>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</si>
  <si>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</si>
  <si>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</si>
  <si>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</si>
  <si>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</si>
  <si>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</si>
  <si>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</si>
  <si>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</si>
  <si>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</si>
  <si>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</si>
  <si>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</si>
  <si>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</si>
  <si>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</si>
  <si>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</si>
  <si>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</si>
  <si>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</si>
  <si>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</si>
  <si>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</si>
  <si>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</si>
  <si>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</si>
  <si>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</si>
  <si>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</si>
  <si>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</si>
  <si>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</si>
  <si>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</si>
  <si>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</si>
  <si>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</si>
  <si>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</si>
  <si>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</si>
  <si>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</si>
  <si>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</si>
  <si>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</si>
  <si>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</si>
  <si>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</si>
  <si>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</si>
  <si>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</si>
  <si>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</si>
  <si>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</si>
  <si>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</si>
  <si>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</si>
  <si>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</si>
  <si>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</si>
  <si>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</si>
  <si>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</si>
  <si>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</si>
  <si>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</si>
  <si>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</si>
  <si>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</si>
  <si>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</si>
  <si>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</si>
  <si>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</si>
  <si>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</si>
  <si>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</si>
  <si>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</si>
  <si>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</si>
  <si>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</si>
  <si>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</si>
  <si>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</si>
  <si>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</si>
  <si>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</si>
  <si>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</si>
  <si>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</si>
  <si>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</si>
  <si>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</si>
  <si>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</si>
  <si>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</si>
  <si>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</si>
  <si>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</si>
  <si>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</si>
  <si>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</si>
  <si>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</si>
  <si>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</si>
  <si>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</si>
  <si>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</si>
  <si>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</si>
  <si>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</si>
  <si>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</si>
  <si>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</si>
  <si>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</si>
  <si>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</si>
  <si>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</si>
  <si>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</si>
  <si>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</si>
  <si>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</si>
  <si>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</si>
  <si>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</si>
  <si>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</si>
  <si>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</si>
  <si>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</si>
  <si>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</si>
  <si>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</si>
  <si>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</si>
  <si>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</si>
  <si>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</si>
  <si>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</si>
  <si>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</si>
  <si>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</si>
  <si>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</si>
  <si>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</si>
  <si>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</si>
  <si>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</si>
  <si>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</si>
  <si>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</si>
  <si>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</si>
  <si>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</si>
  <si>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</si>
  <si>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</si>
  <si>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</si>
  <si>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</si>
  <si>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</si>
  <si>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</si>
  <si>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</si>
  <si>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</si>
  <si>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</si>
  <si>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</si>
  <si>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</si>
  <si>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</si>
  <si>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</si>
  <si>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</si>
  <si>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</si>
  <si>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</si>
  <si>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</si>
  <si>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</si>
  <si>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</si>
  <si>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</si>
  <si>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</si>
  <si>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</si>
  <si>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</si>
  <si>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</si>
  <si>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</si>
  <si>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</si>
  <si>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</si>
  <si>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</si>
  <si>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</si>
  <si>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</si>
  <si>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</si>
  <si>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</si>
  <si>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</si>
  <si>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</si>
  <si>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</si>
  <si>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</si>
  <si>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</si>
  <si>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</si>
  <si>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</si>
  <si>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</si>
  <si>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</si>
  <si>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</si>
  <si>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</si>
  <si>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</si>
  <si>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</si>
  <si>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</si>
  <si>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</si>
  <si>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</si>
  <si>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</si>
  <si>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</si>
  <si>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</si>
  <si>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</si>
  <si>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</si>
  <si>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</si>
  <si>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</si>
  <si>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</si>
  <si>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</si>
  <si>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</si>
  <si>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</si>
  <si>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</si>
  <si>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</si>
  <si>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</si>
  <si>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</si>
  <si>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</si>
  <si>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</si>
  <si>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</si>
  <si>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</si>
  <si>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</si>
  <si>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</si>
  <si>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</si>
  <si>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</si>
  <si>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</si>
  <si>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</si>
  <si>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</si>
  <si>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</si>
  <si>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</si>
  <si>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</si>
  <si>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</si>
  <si>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</si>
  <si>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</si>
  <si>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</si>
  <si>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</si>
  <si>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</si>
  <si>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</si>
  <si>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</si>
  <si>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</si>
  <si>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</si>
  <si>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</si>
  <si>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</si>
  <si>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</si>
  <si>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</si>
  <si>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</si>
  <si>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</si>
  <si>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</si>
  <si>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</si>
  <si>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</si>
  <si>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</si>
  <si>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</si>
  <si>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</si>
  <si>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</si>
  <si>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</si>
  <si>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</si>
  <si>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</si>
  <si>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</si>
  <si>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</si>
  <si>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</si>
  <si>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</si>
  <si>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</si>
  <si>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</si>
  <si>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</si>
  <si>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</si>
  <si>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</si>
  <si>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</si>
  <si>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</si>
  <si>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</si>
  <si>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</si>
  <si>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</si>
  <si>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</si>
  <si>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</si>
  <si>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</si>
  <si>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</si>
  <si>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</si>
  <si>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</si>
  <si>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</si>
  <si>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</si>
  <si>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</si>
  <si>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</si>
  <si>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</si>
  <si>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</si>
  <si>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</si>
  <si>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</si>
  <si>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</si>
  <si>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</si>
  <si>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</si>
  <si>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</si>
  <si>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</si>
  <si>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</si>
  <si>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</si>
  <si>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</si>
  <si>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</si>
  <si>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</si>
  <si>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</si>
  <si>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</si>
  <si>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</si>
  <si>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</si>
  <si>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</si>
  <si>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</si>
  <si>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</si>
  <si>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</si>
  <si>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</si>
  <si>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</si>
  <si>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</si>
  <si>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</si>
  <si>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</si>
  <si>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</si>
  <si>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</si>
  <si>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</si>
  <si>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</si>
  <si>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</si>
  <si>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</si>
  <si>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</si>
  <si>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</si>
  <si>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</si>
  <si>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</si>
  <si>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</si>
  <si>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</si>
  <si>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</si>
  <si>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</si>
  <si>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</si>
  <si>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</si>
  <si>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</si>
  <si>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</si>
  <si>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</si>
  <si>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</si>
  <si>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</si>
  <si>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</si>
  <si>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</si>
  <si>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</si>
  <si>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</si>
  <si>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</si>
  <si>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</si>
  <si>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</si>
  <si>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</si>
  <si>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</si>
  <si>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</si>
  <si>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</si>
  <si>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</si>
  <si>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</si>
  <si>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</si>
  <si>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</si>
  <si>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</si>
  <si>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</si>
  <si>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</si>
  <si>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</si>
  <si>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</si>
  <si>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</si>
  <si>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</si>
  <si>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</si>
  <si>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</si>
  <si>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</si>
  <si>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</si>
  <si>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</si>
  <si>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</si>
  <si>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</si>
  <si>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</si>
  <si>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</si>
  <si>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</si>
  <si>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</si>
  <si>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</si>
  <si>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</si>
  <si>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</si>
  <si>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</si>
  <si>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</si>
  <si>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</si>
  <si>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</si>
  <si>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</si>
  <si>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</si>
  <si>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</si>
  <si>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</si>
  <si>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</si>
  <si>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</si>
  <si>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</si>
  <si>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</si>
  <si>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</si>
  <si>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</si>
  <si>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</si>
  <si>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</si>
  <si>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</si>
  <si>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</si>
  <si>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</si>
  <si>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</si>
  <si>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</si>
  <si>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</si>
  <si>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</si>
  <si>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</si>
  <si>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</si>
  <si>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</si>
  <si>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</si>
  <si>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</si>
  <si>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</si>
  <si>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</si>
  <si>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</si>
  <si>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</si>
  <si>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</si>
  <si>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</si>
  <si>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</si>
  <si>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</si>
  <si>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</si>
  <si>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</si>
  <si>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</si>
  <si>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</si>
  <si>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</si>
  <si>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</si>
  <si>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</si>
  <si>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</si>
  <si>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</si>
  <si>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</si>
  <si>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</si>
  <si>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</si>
  <si>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</si>
  <si>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</si>
  <si>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</si>
  <si>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</si>
  <si>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</si>
  <si>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</si>
  <si>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</si>
  <si>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</si>
  <si>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</si>
  <si>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</si>
  <si>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</si>
  <si>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</si>
  <si>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</si>
  <si>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</si>
  <si>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</si>
  <si>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</si>
  <si>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</si>
  <si>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</si>
  <si>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</si>
  <si>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</si>
  <si>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</si>
  <si>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</si>
  <si>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</si>
  <si>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</si>
  <si>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</si>
  <si>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</si>
  <si>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</si>
  <si>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</si>
  <si>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</si>
  <si>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</si>
  <si>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</si>
  <si>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</si>
  <si>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</si>
  <si>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</si>
  <si>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</si>
  <si>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</si>
  <si>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</si>
  <si>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</si>
  <si>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</si>
  <si>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</si>
  <si>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</si>
  <si>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</si>
  <si>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</si>
  <si>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</si>
  <si>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</si>
  <si>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</si>
  <si>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</si>
  <si>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</si>
  <si>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</si>
  <si>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</si>
  <si>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</si>
  <si>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</si>
  <si>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</si>
  <si>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</si>
  <si>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</si>
  <si>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</si>
  <si>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</si>
  <si>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</si>
  <si>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</si>
  <si>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</si>
  <si>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</si>
  <si>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</si>
  <si>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</si>
  <si>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</si>
  <si>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</si>
  <si>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</si>
  <si>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</si>
  <si>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</si>
  <si>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</si>
  <si>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</si>
  <si>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</si>
  <si>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</si>
  <si>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</si>
  <si>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</si>
  <si>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</si>
  <si>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</si>
  <si>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</si>
  <si>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</si>
  <si>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</si>
  <si>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</si>
  <si>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</si>
  <si>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</si>
  <si>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</si>
  <si>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</si>
  <si>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</si>
  <si>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</si>
  <si>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</si>
  <si>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</si>
  <si>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</si>
  <si>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</si>
  <si>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</si>
  <si>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</si>
  <si>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</si>
  <si>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</si>
  <si>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</si>
  <si>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</si>
  <si>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</si>
  <si>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</si>
  <si>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</si>
  <si>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</si>
  <si>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</si>
  <si>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</si>
  <si>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</si>
  <si>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</si>
  <si>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</si>
  <si>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</si>
  <si>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</si>
  <si>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</si>
  <si>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</si>
  <si>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</si>
  <si>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</si>
  <si>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</si>
  <si>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</si>
  <si>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</si>
  <si>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</si>
  <si>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</si>
  <si>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</si>
  <si>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</si>
  <si>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</si>
  <si>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</si>
  <si>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</si>
  <si>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</si>
  <si>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</si>
  <si>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</si>
  <si>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</si>
  <si>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</si>
  <si>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</si>
  <si>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</si>
  <si>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</si>
  <si>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</si>
  <si>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</si>
  <si>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</si>
  <si>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</si>
  <si>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</si>
  <si>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</si>
  <si>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</si>
  <si>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</si>
  <si>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</si>
  <si>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</si>
  <si>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</si>
  <si>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</si>
  <si>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</si>
  <si>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</si>
  <si>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</si>
  <si>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</si>
  <si>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</si>
  <si>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</si>
  <si>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</si>
  <si>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</si>
  <si>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</si>
  <si>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</si>
  <si>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</si>
  <si>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</si>
  <si>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</si>
  <si>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</si>
  <si>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</si>
  <si>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</si>
  <si>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</si>
  <si>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</si>
  <si>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</si>
  <si>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</si>
  <si>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</si>
  <si>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</si>
  <si>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</si>
  <si>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</si>
  <si>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</si>
  <si>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</si>
  <si>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</si>
  <si>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</si>
  <si>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</si>
  <si>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</si>
  <si>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</si>
  <si>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</si>
  <si>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</si>
  <si>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</si>
  <si>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</si>
  <si>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</si>
  <si>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</si>
  <si>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</si>
  <si>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</si>
  <si>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</si>
  <si>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</si>
  <si>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</si>
  <si>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</si>
  <si>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</si>
  <si>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</si>
  <si>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</si>
  <si>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</si>
  <si>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</si>
  <si>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</si>
  <si>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</si>
  <si>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</si>
  <si>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</si>
  <si>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</si>
  <si>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</si>
  <si>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</si>
  <si>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</si>
  <si>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</si>
  <si>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</si>
  <si>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</si>
  <si>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</si>
  <si>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</si>
  <si>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</si>
  <si>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</si>
  <si>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</si>
  <si>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</si>
  <si>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</si>
  <si>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</si>
  <si>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</si>
  <si>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</si>
  <si>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</si>
  <si>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</si>
  <si>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</si>
  <si>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</si>
  <si>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</si>
  <si>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</si>
  <si>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</si>
  <si>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</si>
  <si>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</si>
  <si>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</si>
  <si>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</si>
  <si>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</si>
  <si>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</si>
  <si>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</si>
  <si>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</si>
  <si>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</si>
  <si>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</si>
  <si>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</si>
  <si>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</si>
  <si>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</si>
  <si>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</si>
  <si>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</si>
  <si>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</si>
  <si>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</si>
  <si>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</si>
  <si>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</si>
  <si>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</si>
  <si>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</si>
  <si>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</si>
  <si>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</si>
  <si>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</si>
  <si>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</si>
  <si>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</si>
  <si>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</si>
  <si>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</si>
  <si>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</si>
  <si>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</si>
  <si>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</si>
  <si>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</si>
  <si>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</si>
  <si>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</si>
  <si>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</si>
  <si>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</si>
  <si>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</si>
  <si>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</si>
  <si>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</si>
  <si>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</si>
  <si>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</si>
  <si>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</si>
  <si>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</si>
  <si>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</si>
  <si>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</si>
  <si>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</si>
  <si>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</si>
  <si>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</si>
  <si>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</si>
  <si>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</si>
  <si>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</si>
  <si>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</si>
  <si>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</si>
  <si>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</si>
  <si>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</si>
  <si>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</si>
  <si>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</si>
  <si>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</si>
  <si>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</si>
  <si>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</si>
  <si>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</si>
  <si>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</si>
  <si>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</si>
  <si>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</si>
  <si>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</si>
  <si>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</si>
  <si>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</si>
  <si>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</si>
  <si>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</si>
  <si>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</si>
  <si>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</si>
  <si>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</si>
  <si>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</si>
  <si>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</si>
  <si>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</si>
  <si>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</si>
  <si>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</si>
  <si>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</si>
  <si>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</si>
  <si>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</si>
  <si>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</si>
  <si>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</si>
  <si>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</si>
  <si>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</si>
  <si>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</si>
  <si>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</si>
  <si>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</si>
  <si>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</si>
  <si>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</si>
  <si>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</si>
  <si>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</si>
  <si>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</si>
  <si>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</si>
  <si>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</si>
  <si>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</si>
  <si>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</si>
  <si>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</si>
  <si>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</si>
  <si>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</si>
  <si>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</si>
  <si>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</si>
  <si>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</si>
  <si>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</si>
  <si>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</si>
  <si>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</si>
  <si>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</si>
  <si>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</si>
  <si>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</si>
  <si>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</si>
  <si>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</si>
  <si>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</si>
  <si>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</si>
  <si>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</si>
  <si>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</si>
  <si>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</si>
  <si>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</si>
  <si>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</si>
  <si>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</si>
  <si>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</si>
  <si>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</si>
  <si>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</si>
  <si>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</si>
  <si>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</si>
  <si>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</si>
  <si>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</si>
  <si>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</si>
  <si>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</si>
  <si>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</si>
  <si>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</si>
  <si>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</si>
  <si>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</si>
  <si>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</si>
  <si>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</si>
  <si>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</si>
  <si>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</si>
  <si>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</si>
  <si>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</si>
  <si>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</si>
  <si>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</si>
  <si>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</si>
  <si>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</si>
  <si>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</si>
  <si>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</si>
  <si>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</si>
  <si>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</si>
  <si>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</si>
  <si>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</si>
  <si>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</si>
  <si>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</si>
  <si>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</si>
  <si>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</si>
  <si>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</si>
  <si>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</si>
  <si>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</si>
  <si>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</si>
  <si>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</si>
  <si>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</si>
  <si>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</si>
  <si>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</si>
  <si>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</si>
  <si>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</si>
  <si>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</si>
  <si>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</si>
  <si>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</si>
  <si>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</si>
  <si>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</si>
  <si>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</si>
  <si>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</si>
  <si>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</si>
  <si>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</si>
  <si>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</si>
  <si>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</si>
  <si>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</si>
  <si>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</si>
  <si>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</si>
  <si>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</si>
  <si>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</si>
  <si>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</si>
  <si>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</si>
  <si>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</si>
  <si>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</si>
  <si>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</si>
  <si>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</si>
  <si>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</si>
  <si>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</si>
  <si>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</si>
  <si>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</si>
  <si>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</si>
  <si>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</si>
  <si>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</si>
  <si>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</si>
  <si>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</si>
  <si>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</si>
  <si>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</si>
  <si>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</si>
  <si>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</si>
  <si>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</si>
  <si>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</si>
  <si>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</si>
  <si>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</si>
  <si>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</si>
  <si>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</si>
  <si>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</si>
  <si>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</si>
  <si>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</si>
  <si>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</si>
  <si>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</si>
  <si>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</si>
  <si>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</si>
  <si>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</si>
  <si>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</si>
  <si>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</si>
  <si>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</si>
  <si>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</si>
  <si>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</si>
  <si>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</si>
  <si>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</si>
  <si>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</si>
  <si>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</si>
  <si>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</si>
  <si>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</si>
  <si>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</si>
  <si>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</si>
  <si>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</si>
  <si>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</si>
  <si>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</si>
  <si>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</si>
  <si>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</si>
  <si>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</si>
  <si>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</si>
  <si>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</si>
  <si>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</si>
  <si>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</si>
  <si>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</si>
  <si>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</si>
  <si>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</si>
  <si>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</si>
  <si>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</si>
  <si>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</si>
  <si>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</si>
  <si>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</si>
  <si>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</si>
  <si>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</si>
  <si>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</si>
  <si>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</si>
  <si>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</si>
  <si>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</si>
  <si>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</si>
  <si>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</si>
  <si>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</si>
  <si>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</si>
  <si>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</si>
  <si>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</si>
  <si>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</si>
  <si>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</si>
  <si>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</si>
  <si>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</si>
  <si>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</si>
  <si>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</si>
  <si>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</si>
  <si>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</si>
  <si>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</si>
  <si>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</si>
  <si>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</si>
  <si>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</si>
  <si>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</si>
  <si>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</si>
  <si>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</si>
  <si>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</si>
  <si>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</si>
  <si>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</si>
  <si>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</si>
  <si>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</si>
  <si>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</si>
  <si>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</si>
  <si>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</si>
  <si>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</si>
  <si>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</si>
  <si>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</si>
  <si>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</si>
  <si>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</si>
  <si>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</si>
  <si>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</si>
  <si>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</si>
  <si>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</si>
  <si>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</si>
  <si>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</si>
  <si>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</si>
  <si>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</si>
  <si>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</si>
  <si>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</si>
  <si>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</si>
  <si>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</si>
  <si>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</si>
  <si>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</si>
  <si>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</si>
  <si>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</si>
  <si>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</si>
  <si>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</si>
  <si>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</si>
  <si>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</si>
  <si>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</si>
  <si>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</si>
  <si>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</si>
  <si>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</si>
  <si>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</si>
  <si>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</si>
  <si>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</si>
  <si>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</si>
  <si>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</si>
  <si>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</si>
  <si>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</si>
  <si>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</si>
  <si>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</si>
  <si>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</si>
  <si>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</si>
  <si>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</si>
  <si>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</si>
  <si>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</si>
  <si>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</si>
  <si>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</si>
  <si>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</si>
  <si>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</si>
  <si>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</si>
  <si>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</si>
  <si>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</si>
  <si>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</si>
  <si>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</si>
  <si>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</si>
  <si>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</si>
  <si>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</si>
  <si>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</si>
  <si>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</si>
  <si>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</si>
  <si>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</si>
  <si>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</si>
  <si>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</si>
  <si>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</si>
  <si>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</si>
  <si>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</si>
  <si>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</si>
  <si>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</si>
  <si>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</si>
  <si>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</si>
  <si>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</si>
  <si>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</si>
  <si>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</si>
  <si>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</si>
  <si>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</si>
  <si>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</si>
  <si>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</si>
  <si>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</si>
  <si>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</si>
  <si>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</si>
  <si>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</si>
  <si>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</si>
  <si>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</si>
  <si>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</si>
  <si>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</si>
  <si>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</si>
  <si>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</si>
  <si>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</si>
  <si>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</si>
  <si>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</si>
  <si>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</si>
  <si>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</si>
  <si>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</si>
  <si>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</si>
  <si>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</si>
  <si>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</si>
  <si>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</si>
  <si>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</si>
  <si>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</si>
  <si>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</si>
  <si>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</si>
  <si>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</si>
  <si>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</si>
  <si>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</si>
  <si>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</si>
  <si>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</si>
  <si>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</si>
  <si>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</si>
  <si>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</si>
  <si>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</si>
  <si>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</si>
  <si>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</si>
  <si>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</si>
  <si>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</si>
  <si>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</si>
  <si>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</si>
  <si>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</si>
  <si>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</si>
  <si>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</si>
  <si>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</si>
  <si>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</si>
  <si>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</si>
  <si>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</si>
  <si>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</si>
  <si>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</si>
  <si>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</si>
  <si>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</si>
  <si>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</si>
  <si>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</si>
  <si>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</si>
  <si>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</si>
  <si>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</si>
  <si>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</si>
  <si>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</si>
  <si>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</si>
  <si>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</si>
  <si>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</si>
  <si>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</si>
  <si>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</si>
  <si>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</si>
  <si>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</si>
  <si>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</si>
  <si>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</si>
  <si>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</si>
  <si>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</si>
  <si>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</si>
  <si>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</si>
  <si>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</si>
  <si>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</si>
  <si>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</si>
  <si>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</si>
  <si>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</si>
  <si>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</si>
  <si>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</si>
  <si>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</si>
  <si>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</si>
  <si>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</si>
  <si>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</si>
  <si>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</si>
  <si>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</si>
  <si>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</si>
  <si>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</si>
  <si>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</si>
  <si>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</si>
  <si>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</si>
  <si>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</si>
  <si>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</si>
  <si>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</si>
  <si>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</si>
  <si>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</si>
  <si>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</si>
  <si>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</si>
  <si>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</si>
  <si>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</si>
  <si>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</si>
  <si>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</si>
  <si>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</si>
  <si>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</si>
  <si>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</si>
  <si>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</si>
  <si>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</si>
  <si>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</si>
  <si>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</si>
  <si>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</si>
  <si>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</si>
  <si>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</si>
  <si>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</si>
  <si>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</si>
  <si>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</si>
  <si>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</si>
  <si>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</si>
  <si>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</si>
  <si>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</si>
  <si>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</si>
  <si>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</si>
  <si>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</si>
  <si>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</si>
  <si>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</si>
  <si>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</si>
  <si>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</si>
  <si>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</si>
  <si>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</si>
  <si>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</si>
  <si>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</si>
  <si>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</si>
  <si>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</si>
  <si>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</si>
  <si>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</si>
  <si>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</si>
  <si>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</si>
  <si>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</si>
  <si>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</si>
  <si>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</si>
  <si>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</si>
  <si>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</si>
  <si>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</si>
  <si>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</si>
  <si>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</si>
  <si>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</si>
  <si>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</si>
  <si>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</si>
  <si>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</si>
  <si>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</si>
  <si>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</si>
  <si>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</si>
  <si>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</si>
  <si>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</si>
  <si>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</si>
  <si>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</si>
  <si>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</si>
  <si>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</si>
  <si>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</si>
  <si>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</si>
  <si>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</si>
  <si>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</si>
  <si>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</si>
  <si>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</si>
  <si>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</si>
  <si>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</si>
  <si>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</si>
  <si>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</si>
  <si>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</si>
  <si>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</si>
  <si>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</si>
  <si>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</si>
  <si>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</si>
  <si>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</si>
  <si>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</si>
  <si>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</si>
  <si>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</si>
  <si>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</si>
  <si>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</si>
  <si>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</si>
  <si>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</si>
  <si>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</si>
  <si>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</si>
  <si>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</si>
  <si>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</si>
  <si>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</si>
  <si>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</si>
  <si>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</si>
  <si>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</si>
  <si>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</si>
  <si>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</si>
  <si>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</si>
  <si>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</si>
  <si>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</si>
  <si>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</si>
  <si>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</si>
  <si>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</si>
  <si>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</si>
  <si>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</si>
  <si>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</si>
  <si>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</si>
  <si>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</si>
  <si>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</si>
  <si>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</si>
  <si>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</si>
  <si>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</si>
  <si>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</si>
  <si>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</si>
  <si>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</si>
  <si>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</si>
  <si>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</si>
  <si>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</si>
  <si>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</si>
  <si>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</si>
  <si>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</si>
  <si>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</si>
  <si>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</si>
  <si>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</si>
  <si>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</si>
  <si>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</si>
  <si>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</si>
  <si>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</si>
  <si>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</si>
  <si>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</si>
  <si>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</si>
  <si>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</si>
  <si>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</si>
  <si>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</si>
  <si>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</si>
  <si>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</si>
  <si>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</si>
  <si>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</si>
  <si>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</si>
  <si>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</si>
  <si>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</si>
  <si>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</si>
  <si>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</si>
  <si>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</si>
  <si>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</si>
  <si>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</si>
  <si>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</si>
  <si>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</si>
  <si>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</si>
  <si>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</si>
  <si>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</si>
  <si>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</si>
  <si>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</si>
  <si>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</si>
  <si>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</si>
  <si>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</si>
  <si>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</si>
  <si>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</si>
  <si>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</si>
  <si>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</si>
  <si>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</si>
  <si>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</si>
  <si>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</si>
  <si>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</si>
  <si>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</si>
  <si>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</si>
  <si>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</si>
  <si>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</si>
  <si>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</si>
  <si>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</si>
  <si>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</si>
  <si>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</si>
  <si>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</si>
  <si>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</si>
  <si>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</si>
  <si>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</si>
  <si>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</si>
  <si>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</si>
  <si>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</si>
  <si>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</si>
  <si>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</si>
  <si>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</si>
  <si>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</si>
  <si>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</si>
  <si>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</si>
  <si>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</si>
  <si>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</si>
  <si>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</si>
  <si>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</si>
  <si>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</si>
  <si>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</si>
  <si>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</si>
  <si>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</si>
  <si>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</si>
  <si>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</si>
  <si>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</si>
  <si>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</si>
  <si>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</si>
  <si>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</si>
  <si>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</si>
  <si>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</si>
  <si>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</si>
  <si>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</si>
  <si>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</si>
  <si>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</si>
  <si>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</si>
  <si>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</si>
  <si>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</si>
  <si>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</si>
  <si>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</si>
  <si>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</si>
  <si>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</si>
  <si>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</si>
  <si>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</si>
  <si>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</si>
  <si>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</si>
  <si>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</si>
  <si>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</si>
  <si>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</si>
  <si>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</si>
  <si>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</si>
  <si>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</si>
  <si>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</si>
  <si>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</si>
  <si>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</si>
  <si>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</si>
  <si>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</si>
  <si>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</si>
  <si>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</si>
  <si>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</si>
  <si>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</si>
  <si>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</si>
  <si>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</si>
  <si>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</si>
  <si>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</si>
  <si>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</si>
  <si>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</si>
  <si>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</si>
  <si>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</si>
  <si>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</si>
  <si>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</si>
  <si>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</si>
  <si>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</si>
  <si>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</si>
  <si>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</si>
  <si>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</si>
  <si>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</si>
  <si>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</si>
  <si>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</si>
  <si>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</si>
  <si>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</si>
  <si>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</si>
  <si>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</si>
  <si>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</si>
  <si>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</si>
  <si>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</si>
  <si>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</si>
  <si>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</si>
  <si>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</si>
  <si>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</si>
  <si>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</si>
  <si>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</si>
  <si>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</si>
  <si>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</si>
  <si>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</si>
  <si>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</si>
  <si>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</si>
  <si>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</si>
  <si>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</si>
  <si>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</si>
  <si>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</si>
  <si>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</si>
  <si>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</si>
  <si>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</si>
  <si>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</si>
  <si>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</si>
  <si>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</si>
  <si>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</si>
  <si>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</si>
  <si>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</si>
  <si>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</si>
  <si>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</si>
  <si>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</si>
  <si>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</si>
  <si>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</si>
  <si>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</si>
  <si>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</si>
  <si>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</si>
  <si>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</si>
  <si>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</si>
  <si>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</si>
  <si>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</si>
  <si>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</si>
  <si>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</si>
  <si>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</si>
  <si>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</si>
  <si>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</si>
  <si>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</si>
  <si>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</si>
  <si>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</si>
  <si>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</si>
  <si>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</si>
  <si>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</si>
  <si>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</si>
  <si>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</si>
  <si>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</si>
  <si>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</si>
  <si>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</si>
  <si>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</si>
  <si>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</si>
  <si>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</si>
  <si>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</si>
  <si>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</si>
  <si>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</si>
  <si>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</si>
  <si>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</si>
  <si>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</si>
  <si>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</si>
  <si>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</si>
  <si>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</si>
  <si>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</si>
  <si>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</si>
  <si>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</si>
  <si>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</si>
  <si>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</si>
  <si>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</si>
  <si>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</si>
  <si>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</si>
  <si>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</si>
  <si>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</si>
  <si>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</si>
  <si>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</si>
  <si>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</si>
  <si>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</si>
  <si>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</si>
  <si>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</si>
  <si>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</si>
  <si>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</si>
  <si>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</si>
  <si>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</si>
  <si>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</si>
  <si>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</si>
  <si>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</si>
  <si>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</si>
  <si>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</si>
  <si>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</si>
  <si>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</si>
  <si>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</si>
  <si>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</si>
  <si>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</si>
  <si>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</si>
  <si>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</si>
  <si>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</si>
  <si>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</si>
  <si>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</si>
  <si>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</si>
  <si>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</si>
  <si>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</si>
  <si>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</si>
  <si>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</si>
  <si>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</si>
  <si>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</si>
  <si>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</si>
  <si>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</si>
  <si>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</si>
  <si>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</si>
  <si>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</si>
  <si>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</si>
  <si>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</si>
  <si>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</si>
  <si>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</si>
  <si>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</si>
  <si>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</si>
  <si>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</si>
  <si>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</si>
  <si>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</si>
  <si>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</si>
  <si>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</si>
  <si>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</si>
  <si>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</si>
  <si>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</si>
  <si>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</si>
  <si>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</si>
  <si>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</si>
  <si>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</si>
  <si>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</si>
  <si>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</si>
  <si>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</si>
  <si>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</si>
  <si>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</si>
  <si>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</si>
  <si>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</si>
  <si>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</si>
  <si>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</si>
  <si>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</si>
  <si>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</si>
  <si>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</si>
  <si>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</si>
  <si>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</si>
  <si>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</si>
  <si>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</si>
  <si>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</si>
  <si>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</si>
  <si>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</si>
  <si>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</si>
  <si>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</si>
  <si>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</si>
  <si>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</si>
  <si>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</si>
  <si>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</si>
  <si>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</si>
  <si>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</si>
  <si>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</si>
  <si>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</si>
  <si>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</si>
  <si>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</si>
  <si>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</si>
  <si>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</si>
  <si>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</si>
  <si>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</si>
  <si>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</si>
  <si>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</si>
  <si>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</si>
  <si>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</si>
  <si>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</si>
  <si>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</si>
  <si>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</si>
  <si>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</si>
  <si>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</si>
  <si>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</si>
  <si>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</si>
  <si>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</si>
  <si>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</si>
  <si>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</si>
  <si>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</si>
  <si>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</si>
  <si>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</si>
  <si>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</si>
  <si>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</si>
  <si>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</si>
  <si>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</si>
  <si>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</si>
  <si>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</si>
  <si>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</si>
  <si>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</si>
  <si>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</si>
  <si>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</si>
  <si>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</si>
  <si>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</si>
  <si>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</si>
  <si>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</si>
  <si>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</si>
  <si>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</si>
  <si>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</si>
  <si>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</si>
  <si>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</si>
  <si>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</si>
  <si>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</si>
  <si>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</si>
  <si>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</si>
  <si>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</si>
  <si>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</si>
  <si>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</si>
  <si>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</si>
  <si>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</si>
  <si>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</si>
  <si>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</si>
  <si>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</si>
  <si>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</si>
  <si>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</si>
  <si>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</si>
  <si>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</si>
  <si>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</si>
  <si>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</si>
  <si>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</si>
  <si>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</si>
  <si>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</si>
  <si>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</si>
  <si>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</si>
  <si>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</si>
  <si>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</si>
  <si>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</si>
  <si>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</si>
  <si>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</si>
  <si>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</si>
  <si>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</si>
  <si>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</si>
  <si>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</si>
  <si>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</si>
  <si>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</si>
  <si>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</si>
  <si>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</si>
  <si>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</si>
  <si>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</si>
  <si>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</si>
  <si>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</si>
  <si>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</si>
  <si>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</si>
  <si>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</si>
  <si>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</si>
  <si>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</si>
  <si>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</si>
  <si>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</si>
  <si>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</si>
  <si>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</si>
  <si>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</si>
  <si>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</si>
  <si>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</si>
  <si>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</si>
  <si>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</si>
  <si>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</si>
  <si>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</si>
  <si>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</si>
  <si>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</si>
  <si>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</si>
  <si>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</si>
  <si>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</si>
  <si>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</si>
  <si>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</si>
  <si>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</si>
  <si>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</si>
  <si>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</si>
  <si>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</si>
  <si>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</si>
  <si>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</si>
  <si>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</si>
  <si>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</si>
  <si>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</si>
  <si>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</si>
  <si>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</si>
  <si>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</si>
  <si>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</si>
  <si>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</si>
  <si>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</si>
  <si>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</si>
  <si>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</si>
  <si>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</si>
  <si>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</si>
  <si>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</si>
  <si>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</si>
  <si>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</si>
  <si>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</si>
  <si>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</si>
  <si>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</si>
  <si>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</si>
  <si>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</si>
  <si>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</si>
  <si>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</si>
  <si>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</si>
  <si>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</si>
  <si>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</si>
  <si>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</si>
  <si>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</si>
  <si>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</si>
  <si>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</si>
  <si>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</si>
  <si>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</si>
  <si>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</si>
  <si>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</si>
  <si>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</si>
  <si>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</si>
  <si>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</si>
  <si>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</si>
  <si>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</si>
  <si>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</si>
  <si>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</si>
  <si>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</si>
  <si>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</si>
  <si>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</si>
  <si>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</si>
  <si>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</si>
  <si>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</si>
  <si>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</si>
  <si>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</si>
  <si>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</si>
  <si>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</si>
  <si>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</si>
  <si>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</si>
  <si>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</si>
  <si>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</si>
  <si>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</si>
  <si>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</si>
  <si>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</si>
  <si>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</si>
  <si>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</si>
  <si>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</si>
  <si>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</si>
  <si>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</si>
  <si>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</si>
  <si>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</si>
  <si>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</si>
  <si>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</si>
  <si>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</si>
  <si>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</si>
  <si>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</si>
  <si>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</si>
  <si>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</si>
  <si>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</si>
  <si>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</si>
  <si>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</si>
  <si>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</si>
  <si>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</si>
  <si>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</si>
  <si>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</si>
  <si>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</si>
  <si>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</si>
  <si>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</si>
  <si>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</si>
  <si>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</si>
  <si>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</si>
  <si>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</si>
  <si>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</si>
  <si>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</si>
  <si>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</si>
  <si>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</si>
  <si>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</si>
  <si>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</si>
  <si>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</si>
  <si>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</si>
  <si>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</si>
  <si>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</si>
  <si>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</si>
  <si>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</si>
  <si>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</si>
  <si>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</si>
  <si>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</si>
  <si>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</si>
  <si>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</si>
  <si>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</si>
  <si>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</si>
  <si>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</si>
  <si>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</si>
  <si>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</si>
  <si>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</si>
  <si>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</si>
  <si>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</si>
  <si>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</si>
  <si>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</si>
  <si>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</si>
  <si>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</si>
  <si>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</si>
  <si>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</si>
  <si>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</si>
  <si>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</si>
  <si>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</si>
  <si>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</si>
  <si>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</si>
  <si>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</si>
  <si>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</si>
  <si>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</si>
  <si>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</si>
  <si>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</si>
  <si>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</si>
  <si>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</si>
  <si>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</si>
  <si>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</si>
  <si>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</si>
  <si>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</si>
  <si>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</si>
  <si>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</si>
  <si>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</si>
  <si>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</si>
  <si>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</si>
  <si>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</si>
  <si>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</si>
  <si>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</si>
  <si>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</si>
  <si>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</si>
  <si>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</si>
  <si>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</si>
  <si>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</si>
  <si>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</si>
  <si>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</si>
  <si>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</si>
  <si>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</si>
  <si>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</si>
  <si>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</si>
  <si>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</si>
  <si>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</si>
  <si>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</si>
  <si>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</si>
  <si>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</si>
  <si>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</si>
  <si>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</si>
  <si>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</si>
  <si>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</si>
  <si>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</si>
  <si>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</si>
  <si>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</si>
  <si>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</si>
  <si>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</si>
  <si>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</si>
  <si>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</si>
  <si>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</si>
  <si>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</si>
  <si>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</si>
  <si>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</si>
  <si>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</si>
  <si>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</si>
  <si>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</si>
  <si>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</si>
  <si>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</si>
  <si>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</si>
  <si>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</si>
  <si>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</si>
  <si>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</si>
  <si>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</si>
  <si>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</si>
  <si>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</si>
  <si>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</si>
  <si>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</si>
  <si>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</si>
  <si>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</si>
  <si>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</si>
  <si>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</si>
  <si>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</si>
  <si>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</si>
  <si>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</si>
  <si>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</si>
  <si>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</si>
  <si>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</si>
  <si>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</si>
  <si>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</si>
  <si>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</si>
  <si>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</si>
  <si>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</si>
  <si>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</si>
  <si>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</si>
  <si>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</si>
  <si>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</si>
  <si>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</si>
  <si>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</si>
  <si>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</si>
  <si>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</si>
  <si>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</si>
  <si>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</si>
  <si>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</si>
  <si>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</si>
  <si>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</si>
  <si>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</si>
  <si>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</si>
  <si>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</si>
  <si>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</si>
  <si>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</si>
  <si>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</si>
  <si>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</si>
  <si>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</si>
  <si>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</si>
  <si>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</si>
  <si>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</si>
  <si>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</si>
  <si>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</si>
  <si>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</si>
  <si>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</si>
  <si>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</si>
  <si>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</si>
  <si>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</si>
  <si>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</si>
  <si>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</si>
  <si>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</si>
  <si>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</si>
  <si>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</si>
  <si>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</si>
  <si>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</si>
  <si>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</si>
  <si>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</si>
  <si>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</si>
  <si>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</si>
  <si>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</si>
  <si>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</si>
  <si>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</si>
  <si>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</si>
  <si>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</si>
  <si>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</si>
  <si>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</si>
  <si>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</si>
  <si>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</si>
  <si>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</si>
  <si>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</si>
  <si>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</si>
  <si>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</si>
  <si>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</si>
  <si>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</si>
  <si>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</si>
  <si>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</si>
  <si>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</si>
  <si>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</si>
  <si>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</si>
  <si>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</si>
  <si>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</si>
  <si>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</si>
  <si>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</si>
  <si>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</si>
  <si>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</si>
  <si>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</si>
  <si>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</si>
  <si>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</si>
  <si>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</si>
  <si>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</si>
  <si>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</si>
  <si>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</si>
  <si>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</si>
  <si>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</si>
  <si>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</si>
  <si>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</si>
  <si>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</si>
  <si>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</si>
  <si>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</si>
  <si>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</si>
  <si>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</si>
  <si>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</si>
  <si>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</si>
  <si>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</si>
  <si>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</si>
  <si>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</si>
  <si>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</si>
  <si>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</si>
  <si>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</si>
  <si>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</si>
  <si>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</si>
  <si>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</si>
  <si>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</si>
  <si>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</si>
  <si>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</si>
  <si>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</si>
  <si>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</si>
  <si>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</si>
  <si>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</si>
  <si>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</si>
  <si>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</si>
  <si>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</si>
  <si>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</si>
  <si>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</si>
  <si>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</si>
  <si>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</si>
  <si>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</si>
  <si>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</si>
  <si>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</si>
  <si>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</si>
  <si>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</si>
  <si>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</si>
  <si>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</si>
  <si>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</si>
  <si>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</si>
  <si>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</si>
  <si>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</si>
  <si>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</si>
  <si>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</si>
  <si>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</si>
  <si>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</si>
  <si>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</si>
  <si>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</si>
  <si>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</si>
  <si>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</si>
  <si>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</si>
  <si>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</si>
  <si>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</si>
  <si>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</si>
  <si>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</si>
  <si>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</si>
  <si>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</si>
  <si>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</si>
  <si>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</si>
  <si>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</si>
  <si>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</si>
  <si>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</si>
  <si>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</si>
  <si>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</si>
  <si>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</si>
  <si>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</si>
  <si>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</si>
  <si>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</si>
  <si>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</si>
  <si>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</si>
  <si>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</si>
  <si>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</si>
  <si>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</si>
  <si>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</si>
  <si>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</si>
  <si>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</si>
  <si>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</si>
  <si>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</si>
  <si>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</si>
  <si>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</si>
  <si>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</si>
  <si>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</si>
  <si>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</si>
  <si>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</si>
  <si>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</si>
  <si>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</si>
  <si>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</si>
  <si>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</si>
  <si>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</si>
  <si>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</si>
  <si>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</si>
  <si>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</si>
  <si>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</si>
  <si>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</si>
  <si>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</si>
  <si>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</si>
  <si>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</si>
  <si>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</si>
  <si>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</si>
  <si>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</si>
  <si>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</si>
  <si>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</si>
  <si>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</si>
  <si>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</si>
  <si>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</si>
  <si>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</si>
  <si>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</si>
  <si>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</si>
  <si>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</si>
  <si>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</si>
  <si>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</si>
  <si>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</si>
  <si>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</si>
  <si>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</si>
  <si>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</si>
  <si>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</si>
  <si>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</si>
  <si>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</si>
  <si>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</si>
  <si>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</si>
  <si>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</si>
  <si>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</si>
  <si>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</si>
  <si>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</si>
  <si>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</si>
  <si>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</si>
  <si>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</si>
  <si>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</si>
  <si>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</si>
  <si>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</si>
  <si>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</si>
  <si>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</si>
  <si>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</si>
  <si>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</si>
  <si>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</si>
  <si>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</si>
  <si>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</si>
  <si>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</si>
  <si>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</si>
  <si>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</si>
  <si>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</si>
  <si>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</si>
  <si>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</si>
  <si>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</si>
  <si>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</si>
  <si>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</si>
  <si>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</si>
  <si>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</si>
  <si>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</si>
  <si>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</si>
  <si>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</si>
  <si>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</si>
  <si>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</si>
  <si>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</si>
  <si>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</si>
  <si>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</si>
  <si>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</si>
  <si>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</si>
  <si>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</si>
  <si>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</si>
  <si>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</si>
  <si>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</si>
  <si>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</si>
  <si>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</si>
  <si>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</si>
  <si>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</si>
  <si>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</si>
  <si>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</si>
  <si>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</si>
  <si>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</si>
  <si>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</si>
  <si>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</si>
  <si>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</si>
  <si>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</si>
  <si>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</si>
  <si>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</si>
  <si>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</si>
  <si>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</si>
  <si>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</si>
  <si>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</si>
  <si>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</si>
  <si>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</si>
  <si>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</si>
  <si>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</si>
  <si>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</si>
  <si>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</si>
  <si>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</si>
  <si>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</si>
  <si>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</si>
  <si>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</si>
  <si>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</si>
  <si>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</si>
  <si>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</si>
  <si>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</si>
  <si>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</si>
  <si>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</si>
  <si>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</si>
  <si>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</si>
  <si>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</si>
  <si>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</si>
  <si>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</si>
  <si>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</si>
  <si>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</si>
  <si>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</si>
  <si>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</si>
  <si>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</si>
  <si>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</si>
  <si>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</si>
  <si>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</si>
  <si>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</si>
  <si>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</si>
  <si>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</si>
  <si>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</si>
  <si>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</si>
  <si>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</si>
  <si>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</si>
  <si>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</si>
  <si>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</si>
  <si>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</si>
  <si>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</si>
  <si>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</si>
  <si>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</si>
  <si>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</si>
  <si>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</si>
  <si>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</si>
  <si>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</si>
  <si>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</si>
  <si>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</si>
  <si>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</si>
  <si>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</si>
  <si>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</si>
  <si>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</si>
  <si>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</si>
  <si>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</si>
  <si>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</si>
  <si>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</si>
  <si>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</si>
  <si>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</si>
  <si>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</si>
  <si>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</si>
  <si>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</si>
  <si>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</si>
  <si>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</si>
  <si>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</si>
  <si>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</si>
  <si>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</si>
  <si>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</si>
  <si>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</si>
  <si>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</si>
  <si>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</si>
  <si>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</si>
  <si>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</si>
  <si>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</si>
  <si>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</si>
  <si>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</si>
  <si>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</si>
  <si>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</si>
  <si>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</si>
  <si>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</si>
  <si>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</si>
  <si>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</si>
  <si>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</si>
  <si>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</si>
  <si>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</si>
  <si>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</si>
  <si>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</si>
  <si>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</si>
  <si>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</si>
  <si>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</si>
  <si>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</si>
  <si>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</si>
  <si>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</si>
  <si>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</si>
  <si>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</si>
  <si>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</si>
  <si>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</si>
  <si>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</si>
  <si>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</si>
  <si>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</si>
  <si>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</si>
  <si>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</si>
  <si>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</si>
  <si>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</si>
  <si>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</si>
  <si>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</si>
  <si>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</si>
  <si>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</si>
  <si>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</si>
  <si>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</si>
  <si>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</si>
  <si>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</si>
  <si>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</si>
  <si>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</si>
  <si>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</si>
  <si>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</si>
  <si>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</si>
  <si>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</si>
  <si>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</si>
  <si>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</si>
  <si>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</si>
  <si>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</si>
  <si>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</si>
  <si>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</si>
  <si>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</si>
  <si>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</si>
  <si>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</si>
  <si>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</si>
  <si>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</si>
  <si>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</si>
  <si>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</si>
  <si>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</si>
  <si>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</si>
  <si>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</si>
  <si>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</si>
  <si>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</si>
  <si>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</si>
  <si>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</si>
  <si>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</si>
  <si>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</si>
  <si>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</si>
  <si>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</si>
  <si>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</si>
  <si>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</si>
  <si>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</si>
  <si>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</si>
  <si>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</si>
  <si>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</si>
  <si>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</si>
  <si>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</si>
  <si>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</si>
  <si>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</si>
  <si>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</si>
  <si>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</si>
  <si>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</si>
  <si>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</si>
  <si>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</si>
  <si>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</si>
  <si>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</si>
  <si>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</si>
  <si>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</si>
  <si>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</si>
  <si>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</si>
  <si>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</si>
  <si>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</si>
  <si>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</si>
  <si>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</si>
  <si>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</si>
  <si>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</si>
  <si>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</si>
  <si>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</si>
  <si>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</si>
  <si>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</si>
  <si>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</si>
  <si>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</si>
  <si>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</si>
  <si>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</si>
  <si>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</si>
  <si>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</si>
  <si>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</si>
  <si>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</si>
  <si>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</si>
  <si>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</si>
  <si>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</si>
  <si>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</si>
  <si>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</si>
  <si>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</si>
  <si>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</si>
  <si>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</si>
  <si>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</si>
  <si>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</si>
  <si>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</si>
  <si>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</si>
  <si>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</si>
  <si>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</si>
  <si>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</si>
  <si>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</si>
  <si>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</si>
  <si>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</si>
  <si>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</si>
  <si>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</si>
  <si>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</si>
  <si>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</si>
  <si>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</si>
  <si>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</si>
  <si>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</si>
  <si>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</si>
  <si>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</si>
  <si>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</si>
  <si>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</si>
  <si>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</si>
  <si>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</si>
  <si>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</si>
  <si>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</si>
  <si>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</si>
  <si>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</si>
  <si>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</si>
  <si>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</si>
  <si>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</si>
  <si>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</si>
  <si>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</si>
  <si>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</si>
  <si>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</si>
  <si>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</si>
  <si>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</si>
  <si>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</si>
  <si>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</si>
  <si>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</si>
  <si>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</si>
  <si>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</si>
  <si>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</si>
  <si>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</si>
  <si>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</si>
  <si>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</si>
  <si>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</si>
  <si>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</si>
  <si>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</si>
  <si>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</si>
  <si>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</si>
  <si>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</si>
  <si>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</si>
  <si>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</si>
  <si>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</si>
  <si>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</si>
  <si>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</si>
  <si>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</si>
  <si>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</si>
  <si>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</si>
  <si>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</si>
  <si>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</si>
  <si>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</si>
  <si>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</si>
  <si>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</si>
  <si>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</si>
  <si>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</si>
  <si>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</si>
  <si>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</si>
  <si>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</si>
  <si>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</si>
  <si>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</si>
  <si>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</si>
  <si>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</si>
  <si>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</si>
  <si>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</si>
  <si>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</si>
  <si>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</si>
  <si>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</si>
  <si>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</si>
  <si>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</si>
  <si>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</si>
  <si>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</si>
  <si>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</si>
  <si>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</si>
  <si>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</si>
  <si>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</si>
  <si>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</si>
  <si>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</si>
  <si>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</si>
  <si>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</si>
  <si>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</si>
  <si>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</si>
  <si>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</si>
  <si>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</si>
  <si>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</si>
  <si>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</si>
  <si>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</si>
  <si>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</si>
  <si>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</si>
  <si>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</si>
  <si>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</si>
  <si>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</si>
  <si>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</si>
  <si>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</si>
  <si>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</si>
  <si>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</si>
  <si>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</si>
  <si>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</si>
  <si>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</si>
  <si>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</si>
  <si>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</si>
  <si>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</si>
  <si>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</si>
  <si>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</si>
  <si>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</si>
  <si>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</si>
  <si>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</si>
  <si>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</si>
  <si>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</si>
  <si>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</si>
  <si>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</si>
  <si>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</si>
  <si>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</si>
  <si>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</si>
  <si>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</si>
  <si>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</si>
  <si>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</si>
  <si>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</si>
  <si>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</si>
  <si>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</si>
  <si>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</si>
  <si>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</si>
  <si>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</si>
  <si>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</si>
  <si>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</si>
  <si>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</si>
  <si>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</si>
  <si>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</si>
  <si>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</si>
  <si>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</si>
  <si>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</si>
  <si>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</si>
  <si>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</si>
  <si>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</si>
  <si>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</si>
  <si>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</si>
  <si>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</si>
  <si>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</si>
  <si>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</si>
  <si>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</si>
  <si>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</si>
  <si>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</si>
  <si>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</si>
  <si>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</si>
  <si>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</si>
  <si>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</si>
  <si>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</si>
  <si>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</si>
  <si>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</si>
  <si>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</si>
  <si>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</si>
  <si>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</si>
  <si>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</si>
  <si>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</si>
  <si>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</si>
  <si>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</si>
  <si>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</si>
  <si>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</si>
  <si>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</si>
  <si>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</si>
  <si>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</si>
  <si>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</si>
  <si>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</si>
  <si>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</si>
  <si>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</si>
  <si>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</si>
  <si>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</si>
  <si>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</si>
  <si>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</si>
  <si>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</si>
  <si>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</si>
  <si>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</si>
  <si>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</si>
  <si>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</si>
  <si>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</si>
  <si>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</si>
  <si>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</si>
  <si>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</si>
  <si>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</si>
  <si>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</si>
  <si>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</si>
  <si>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</si>
  <si>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</si>
  <si>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</si>
  <si>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</si>
  <si>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</si>
  <si>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</si>
  <si>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</si>
  <si>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</si>
  <si>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</si>
  <si>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</si>
  <si>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</si>
  <si>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</si>
  <si>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</si>
  <si>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</si>
  <si>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</si>
  <si>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</si>
  <si>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</si>
  <si>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</si>
  <si>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</si>
  <si>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</si>
  <si>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</si>
  <si>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</si>
  <si>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</si>
  <si>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</si>
  <si>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</si>
  <si>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</si>
  <si>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</si>
  <si>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</si>
  <si>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</si>
  <si>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</si>
  <si>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</si>
  <si>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</si>
  <si>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</si>
  <si>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</si>
  <si>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</si>
  <si>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</si>
  <si>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</si>
  <si>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</si>
  <si>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</si>
  <si>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</si>
  <si>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</si>
  <si>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</si>
  <si>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</si>
  <si>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</si>
  <si>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</si>
  <si>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</si>
  <si>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</si>
  <si>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</si>
  <si>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</si>
  <si>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</si>
  <si>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</si>
  <si>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</si>
  <si>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</si>
  <si>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</si>
  <si>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</si>
  <si>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</si>
  <si>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</si>
  <si>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</si>
  <si>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</si>
  <si>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</si>
  <si>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</si>
  <si>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</si>
  <si>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</si>
  <si>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</si>
  <si>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</si>
  <si>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</si>
  <si>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</si>
  <si>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</si>
  <si>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</si>
  <si>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</si>
  <si>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</si>
  <si>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</si>
  <si>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</si>
  <si>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</si>
  <si>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</si>
  <si>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</si>
  <si>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</si>
  <si>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</si>
  <si>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</si>
  <si>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</si>
  <si>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</si>
  <si>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</si>
  <si>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</si>
  <si>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</si>
  <si>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</si>
  <si>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</si>
  <si>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</si>
  <si>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</si>
  <si>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</si>
  <si>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</si>
  <si>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</si>
  <si>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</si>
  <si>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</si>
  <si>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</si>
  <si>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</si>
  <si>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</si>
  <si>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</si>
  <si>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</si>
  <si>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</si>
  <si>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</si>
  <si>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</si>
  <si>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</si>
  <si>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</si>
  <si>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</si>
  <si>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</si>
  <si>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</si>
  <si>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</si>
  <si>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</si>
  <si>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</si>
  <si>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</si>
  <si>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</si>
  <si>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</si>
  <si>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</si>
  <si>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</si>
  <si>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</si>
  <si>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</si>
  <si>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</si>
  <si>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</si>
  <si>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</si>
  <si>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</si>
  <si>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</si>
  <si>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</si>
  <si>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</si>
  <si>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</si>
  <si>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</si>
  <si>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</si>
  <si>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</si>
  <si>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</si>
  <si>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</si>
  <si>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</si>
  <si>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</si>
  <si>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</si>
  <si>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</si>
  <si>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</si>
  <si>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</si>
  <si>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</si>
  <si>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</si>
  <si>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</si>
  <si>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</si>
  <si>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</si>
  <si>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</si>
  <si>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</si>
  <si>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</si>
  <si>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</si>
  <si>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</si>
  <si>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</si>
  <si>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</si>
  <si>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</si>
  <si>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</si>
  <si>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</si>
  <si>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</si>
  <si>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</si>
  <si>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</si>
  <si>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</si>
  <si>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</si>
  <si>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</si>
  <si>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</si>
  <si>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</si>
  <si>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</si>
  <si>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</si>
  <si>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</si>
  <si>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</si>
  <si>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</si>
  <si>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</si>
  <si>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</si>
  <si>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</si>
  <si>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</si>
  <si>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</si>
  <si>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</si>
  <si>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</si>
  <si>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</si>
  <si>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</si>
  <si>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</si>
  <si>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</si>
  <si>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</si>
  <si>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</si>
  <si>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</si>
  <si>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</si>
  <si>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</si>
  <si>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</si>
  <si>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</si>
  <si>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</si>
  <si>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</si>
  <si>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</si>
  <si>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</si>
  <si>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</si>
  <si>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</si>
  <si>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</si>
  <si>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</si>
  <si>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</si>
  <si>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</si>
  <si>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</si>
  <si>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</si>
  <si>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</si>
  <si>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</si>
  <si>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</si>
  <si>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</si>
  <si>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</si>
  <si>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</si>
  <si>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</si>
  <si>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</si>
  <si>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</si>
  <si>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</si>
  <si>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</si>
  <si>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</si>
  <si>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</si>
  <si>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</si>
  <si>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</si>
  <si>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</si>
  <si>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</si>
  <si>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</si>
  <si>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</si>
  <si>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</si>
  <si>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</si>
  <si>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</si>
  <si>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</si>
  <si>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</si>
  <si>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</si>
  <si>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</si>
  <si>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</si>
  <si>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</si>
  <si>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</si>
  <si>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</si>
  <si>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</si>
  <si>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</si>
  <si>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</si>
  <si>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</si>
  <si>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</si>
  <si>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</si>
  <si>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</si>
  <si>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</si>
  <si>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</si>
  <si>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</si>
  <si>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</si>
  <si>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</si>
  <si>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</si>
  <si>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</si>
  <si>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</si>
  <si>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</si>
  <si>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</si>
  <si>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</si>
  <si>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</si>
  <si>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</si>
  <si>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</si>
  <si>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</si>
  <si>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</si>
  <si>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</si>
  <si>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</si>
  <si>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</si>
  <si>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</si>
  <si>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</si>
  <si>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</si>
  <si>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</si>
  <si>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</si>
  <si>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</si>
  <si>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</si>
  <si>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</si>
  <si>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</si>
  <si>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</si>
  <si>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</si>
  <si>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</si>
  <si>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</si>
  <si>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</si>
  <si>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</si>
  <si>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</si>
  <si>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</si>
  <si>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</si>
  <si>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</si>
  <si>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</si>
  <si>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</si>
  <si>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</si>
  <si>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</si>
  <si>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</si>
  <si>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</si>
  <si>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</si>
  <si>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</si>
  <si>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</si>
  <si>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</si>
  <si>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</si>
  <si>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</si>
  <si>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</si>
  <si>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</si>
  <si>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</si>
  <si>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</si>
  <si>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</si>
  <si>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</si>
  <si>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</si>
  <si>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</si>
  <si>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</si>
  <si>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</si>
  <si>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</si>
  <si>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</si>
  <si>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</si>
  <si>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</si>
  <si>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</si>
  <si>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</si>
  <si>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</si>
  <si>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</si>
  <si>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</si>
  <si>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</si>
  <si>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</si>
  <si>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</si>
  <si>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</si>
  <si>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</si>
  <si>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</si>
  <si>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</si>
  <si>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</si>
  <si>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</si>
  <si>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</si>
  <si>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</si>
  <si>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</si>
  <si>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</si>
  <si>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</si>
  <si>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</si>
  <si>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</si>
  <si>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</si>
  <si>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</si>
  <si>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</si>
  <si>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</si>
  <si>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</si>
  <si>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</si>
  <si>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</si>
  <si>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</si>
  <si>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</si>
  <si>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</si>
  <si>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</si>
  <si>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</si>
  <si>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</si>
  <si>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</si>
  <si>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</si>
  <si>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</si>
  <si>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</si>
  <si>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</si>
  <si>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</si>
  <si>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</si>
  <si>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</si>
  <si>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</si>
  <si>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</si>
  <si>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</si>
  <si>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</si>
  <si>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</si>
  <si>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</si>
  <si>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</si>
  <si>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</si>
  <si>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</si>
  <si>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</si>
  <si>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</si>
  <si>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</si>
  <si>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</si>
  <si>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</si>
  <si>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</si>
  <si>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</si>
  <si>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</si>
  <si>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</si>
  <si>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</si>
  <si>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</si>
  <si>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</si>
  <si>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</si>
  <si>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</si>
  <si>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</si>
  <si>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</si>
  <si>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</si>
  <si>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</si>
  <si>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</si>
  <si>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</si>
  <si>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</si>
  <si>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</si>
  <si>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</si>
  <si>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</si>
  <si>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</si>
  <si>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</si>
  <si>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</si>
  <si>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</si>
  <si>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</si>
  <si>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</si>
  <si>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</si>
  <si>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</si>
  <si>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</si>
  <si>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</si>
  <si>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</si>
  <si>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</si>
  <si>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</si>
  <si>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</si>
  <si>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</si>
  <si>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</si>
  <si>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</si>
  <si>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</si>
  <si>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</si>
  <si>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</si>
  <si>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</si>
  <si>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</si>
  <si>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</si>
  <si>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</si>
  <si>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</si>
  <si>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</si>
  <si>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</si>
  <si>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</si>
  <si>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</si>
  <si>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</si>
  <si>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</si>
  <si>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</si>
  <si>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</si>
  <si>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</si>
  <si>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</si>
  <si>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</si>
  <si>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</si>
  <si>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</si>
  <si>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</si>
  <si>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</si>
  <si>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</si>
  <si>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</si>
  <si>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</si>
  <si>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</si>
  <si>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</si>
  <si>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</si>
  <si>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</si>
  <si>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</si>
  <si>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</si>
  <si>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</si>
  <si>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</si>
  <si>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</si>
  <si>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</si>
  <si>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</si>
  <si>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</si>
  <si>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</si>
  <si>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</si>
  <si>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</si>
  <si>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</si>
  <si>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</si>
  <si>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</si>
  <si>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</si>
  <si>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</si>
  <si>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</si>
  <si>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</si>
  <si>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</si>
  <si>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</si>
  <si>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</si>
  <si>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</si>
  <si>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</si>
  <si>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</si>
  <si>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</si>
  <si>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</si>
  <si>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</si>
  <si>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</si>
  <si>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</si>
  <si>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</si>
  <si>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</si>
  <si>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</si>
  <si>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</si>
  <si>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</si>
  <si>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</si>
  <si>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</si>
  <si>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</si>
  <si>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</si>
  <si>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</si>
  <si>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</si>
  <si>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</si>
  <si>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</si>
  <si>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</si>
  <si>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</si>
  <si>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</si>
  <si>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</si>
  <si>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</si>
  <si>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</si>
  <si>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</si>
  <si>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</si>
  <si>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</si>
  <si>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</si>
  <si>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</si>
  <si>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</si>
  <si>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</si>
  <si>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</si>
  <si>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</si>
  <si>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</si>
  <si>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</si>
  <si>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</si>
  <si>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</si>
  <si>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</si>
  <si>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</si>
  <si>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</si>
  <si>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</si>
  <si>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</si>
  <si>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</si>
  <si>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</si>
  <si>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</si>
  <si>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</si>
  <si>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</si>
  <si>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</si>
  <si>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</si>
  <si>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</si>
  <si>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</si>
  <si>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</si>
  <si>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</si>
  <si>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</si>
  <si>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</si>
  <si>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</si>
  <si>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</si>
  <si>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</si>
  <si>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</si>
  <si>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</si>
  <si>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</si>
  <si>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</si>
  <si>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</si>
  <si>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</si>
  <si>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</si>
  <si>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</si>
  <si>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</si>
  <si>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</si>
  <si>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</si>
  <si>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</si>
  <si>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</si>
  <si>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</si>
  <si>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</si>
  <si>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</si>
  <si>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</si>
  <si>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</si>
  <si>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</si>
  <si>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</si>
  <si>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</si>
  <si>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</si>
  <si>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</si>
  <si>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</si>
  <si>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</si>
  <si>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</si>
  <si>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</si>
  <si>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</si>
  <si>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</si>
  <si>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</si>
  <si>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</si>
  <si>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</si>
  <si>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</si>
  <si>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</si>
  <si>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</si>
  <si>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</si>
  <si>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</si>
  <si>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</si>
  <si>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</si>
  <si>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</si>
  <si>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</si>
  <si>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</si>
  <si>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</si>
  <si>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</si>
  <si>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</si>
  <si>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</si>
  <si>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</si>
  <si>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</si>
  <si>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</si>
  <si>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</si>
  <si>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</si>
  <si>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</si>
  <si>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</si>
  <si>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</si>
  <si>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</si>
  <si>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</si>
  <si>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</si>
  <si>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</si>
  <si>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</si>
  <si>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</si>
  <si>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</si>
  <si>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</si>
  <si>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</si>
  <si>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</si>
  <si>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</si>
  <si>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</si>
  <si>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</si>
  <si>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</si>
  <si>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</si>
  <si>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</si>
  <si>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</si>
  <si>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</si>
  <si>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</si>
  <si>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</si>
  <si>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</si>
  <si>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</si>
  <si>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</si>
  <si>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</si>
  <si>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</si>
  <si>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</si>
  <si>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</si>
  <si>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</si>
  <si>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</si>
  <si>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</si>
  <si>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</si>
  <si>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</si>
  <si>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</si>
  <si>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</si>
  <si>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</si>
  <si>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</si>
  <si>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</si>
  <si>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</si>
  <si>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</si>
  <si>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</si>
  <si>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</si>
  <si>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</si>
  <si>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</si>
  <si>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</si>
  <si>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</si>
  <si>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</si>
  <si>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</si>
  <si>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</si>
  <si>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</si>
  <si>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</si>
  <si>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</si>
  <si>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</si>
  <si>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</si>
  <si>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</si>
  <si>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</si>
  <si>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</si>
  <si>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</si>
  <si>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</si>
  <si>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</si>
  <si>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</si>
  <si>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</si>
  <si>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</si>
  <si>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</si>
  <si>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</si>
  <si>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</si>
  <si>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</si>
  <si>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</si>
  <si>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</si>
  <si>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</si>
  <si>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</si>
  <si>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</si>
  <si>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</si>
  <si>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</si>
  <si>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</si>
  <si>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</si>
  <si>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</si>
  <si>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</si>
  <si>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</si>
  <si>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</si>
  <si>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</si>
  <si>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</si>
  <si>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</si>
  <si>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</si>
  <si>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</si>
  <si>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</si>
  <si>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</si>
  <si>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</si>
  <si>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</si>
  <si>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</si>
  <si>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</si>
  <si>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</si>
  <si>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</si>
  <si>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</si>
  <si>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</si>
  <si>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</si>
  <si>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</si>
  <si>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</si>
  <si>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</si>
  <si>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</si>
  <si>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</si>
  <si>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</si>
  <si>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</si>
  <si>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</si>
  <si>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</si>
  <si>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</si>
  <si>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</si>
  <si>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</si>
  <si>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</si>
  <si>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</si>
  <si>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</si>
  <si>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</si>
  <si>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</si>
  <si>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</si>
  <si>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</si>
  <si>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</si>
  <si>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</si>
  <si>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</si>
  <si>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</si>
  <si>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</si>
  <si>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</si>
  <si>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</si>
  <si>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</si>
  <si>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</si>
  <si>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</si>
  <si>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</si>
  <si>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</si>
  <si>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</si>
  <si>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</si>
  <si>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</si>
  <si>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</si>
  <si>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</si>
  <si>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</si>
  <si>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</si>
  <si>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</si>
  <si>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</si>
  <si>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</si>
  <si>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</si>
  <si>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</si>
  <si>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</si>
  <si>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</si>
  <si>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</si>
  <si>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</si>
  <si>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</si>
  <si>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</si>
  <si>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</si>
  <si>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</si>
  <si>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</si>
  <si>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</si>
  <si>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</si>
  <si>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</si>
  <si>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</si>
  <si>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</si>
  <si>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</si>
  <si>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</si>
  <si>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</si>
  <si>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</si>
  <si>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</si>
  <si>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</si>
  <si>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</si>
  <si>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</si>
  <si>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</si>
  <si>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</si>
  <si>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</si>
  <si>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</si>
  <si>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</si>
  <si>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</si>
  <si>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</si>
  <si>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</si>
  <si>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</si>
  <si>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</si>
  <si>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</si>
  <si>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</si>
  <si>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</si>
  <si>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</si>
  <si>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</si>
  <si>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</si>
  <si>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</si>
  <si>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</si>
  <si>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</si>
  <si>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</si>
  <si>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</si>
  <si>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</si>
  <si>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</si>
  <si>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</si>
  <si>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</si>
  <si>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</si>
  <si>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</si>
  <si>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</si>
  <si>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</si>
  <si>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</si>
  <si>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</si>
  <si>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</si>
  <si>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</si>
  <si>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</si>
  <si>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</si>
  <si>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</si>
  <si>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</si>
  <si>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</si>
  <si>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</si>
  <si>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</si>
  <si>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</si>
  <si>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</si>
  <si>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</si>
  <si>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</si>
  <si>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</si>
  <si>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</si>
  <si>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</si>
  <si>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</si>
  <si>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</si>
  <si>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</si>
  <si>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</si>
  <si>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</si>
  <si>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</si>
  <si>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</si>
  <si>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</si>
  <si>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</si>
  <si>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</si>
  <si>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</si>
  <si>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</si>
  <si>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</si>
  <si>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</si>
  <si>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</si>
  <si>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</si>
  <si>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</si>
  <si>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</si>
  <si>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</si>
  <si>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</si>
  <si>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</si>
  <si>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</si>
  <si>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</si>
  <si>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</si>
  <si>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</si>
  <si>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</si>
  <si>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</si>
  <si>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</si>
  <si>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</si>
  <si>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</si>
  <si>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</si>
  <si>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</si>
  <si>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</si>
  <si>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</si>
  <si>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</si>
  <si>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</si>
  <si>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</si>
  <si>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</si>
  <si>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</si>
  <si>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</si>
  <si>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</si>
  <si>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</si>
  <si>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</si>
  <si>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</si>
  <si>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</si>
  <si>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</si>
  <si>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</si>
  <si>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</si>
  <si>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</si>
  <si>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</si>
  <si>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</si>
  <si>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</si>
  <si>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</si>
  <si>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</si>
  <si>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</si>
  <si>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</si>
  <si>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</si>
  <si>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</si>
  <si>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</si>
  <si>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</si>
  <si>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</si>
  <si>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</si>
  <si>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</si>
  <si>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</si>
  <si>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</si>
  <si>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</si>
  <si>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</si>
  <si>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</si>
  <si>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</si>
  <si>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</si>
  <si>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</si>
  <si>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</si>
  <si>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</si>
  <si>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</si>
  <si>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</si>
  <si>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</si>
  <si>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</si>
  <si>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</si>
  <si>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</si>
  <si>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</si>
  <si>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</si>
  <si>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</si>
  <si>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</si>
  <si>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</si>
  <si>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</si>
  <si>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</si>
  <si>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</si>
  <si>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</si>
  <si>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</si>
  <si>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</si>
  <si>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</si>
  <si>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</si>
  <si>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</si>
  <si>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</si>
  <si>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</si>
  <si>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</si>
  <si>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</si>
  <si>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</si>
  <si>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</si>
  <si>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</si>
  <si>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</si>
  <si>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</si>
  <si>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</si>
  <si>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</si>
  <si>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</si>
  <si>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</si>
  <si>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</si>
  <si>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</si>
  <si>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</si>
  <si>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</si>
  <si>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</si>
  <si>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</si>
  <si>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</si>
  <si>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</si>
  <si>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</si>
  <si>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</si>
  <si>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</si>
  <si>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</si>
  <si>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</si>
  <si>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</si>
  <si>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</si>
  <si>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</si>
  <si>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</si>
  <si>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</si>
  <si>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</si>
  <si>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</si>
  <si>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</si>
  <si>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</si>
  <si>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</si>
  <si>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</si>
  <si>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</si>
  <si>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</si>
  <si>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</si>
  <si>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</si>
  <si>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</si>
  <si>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</si>
  <si>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</si>
  <si>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</si>
  <si>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</si>
  <si>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</si>
  <si>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</si>
  <si>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</si>
  <si>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</si>
  <si>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</si>
  <si>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</si>
  <si>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</si>
  <si>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</si>
  <si>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</si>
  <si>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</si>
  <si>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</si>
  <si>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</si>
  <si>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</si>
  <si>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</si>
  <si>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</si>
  <si>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</si>
  <si>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</si>
  <si>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</si>
  <si>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</si>
  <si>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</si>
  <si>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</si>
  <si>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</si>
  <si>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</si>
  <si>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</si>
  <si>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</si>
  <si>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</si>
  <si>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</si>
  <si>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</si>
  <si>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</si>
  <si>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</si>
  <si>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</si>
  <si>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</si>
  <si>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</si>
  <si>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</si>
  <si>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</si>
  <si>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</si>
  <si>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</si>
  <si>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</si>
  <si>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</si>
  <si>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</si>
  <si>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</si>
  <si>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</si>
  <si>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</si>
  <si>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</si>
  <si>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</si>
  <si>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</si>
  <si>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</si>
  <si>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</si>
  <si>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</si>
  <si>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</si>
  <si>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</si>
  <si>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</si>
  <si>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</si>
  <si>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</si>
  <si>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</si>
  <si>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</si>
  <si>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</si>
  <si>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</si>
  <si>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</si>
  <si>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</si>
  <si>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</si>
  <si>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</si>
  <si>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</si>
  <si>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</si>
  <si>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</si>
  <si>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</si>
  <si>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</si>
  <si>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</si>
  <si>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</si>
  <si>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</si>
  <si>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</si>
  <si>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</si>
  <si>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</si>
  <si>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</si>
  <si>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</si>
  <si>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</si>
  <si>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</si>
  <si>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</si>
  <si>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</si>
  <si>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</si>
  <si>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</si>
  <si>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</si>
  <si>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</si>
  <si>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</si>
  <si>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</si>
  <si>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</si>
  <si>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</si>
  <si>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</si>
  <si>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</si>
  <si>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</si>
  <si>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</si>
  <si>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</si>
  <si>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</si>
  <si>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</si>
  <si>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</si>
  <si>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</si>
  <si>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</si>
  <si>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</si>
  <si>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</si>
  <si>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</si>
  <si>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</si>
  <si>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</si>
  <si>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</si>
  <si>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</si>
  <si>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</si>
  <si>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</si>
  <si>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</si>
  <si>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</si>
  <si>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</si>
  <si>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</si>
  <si>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</si>
  <si>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</si>
  <si>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</si>
  <si>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</si>
  <si>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</si>
  <si>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</si>
  <si>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</si>
  <si>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</si>
  <si>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</si>
  <si>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</si>
  <si>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</si>
  <si>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</si>
  <si>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</si>
  <si>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</si>
  <si>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</si>
  <si>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</si>
  <si>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</si>
  <si>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</si>
  <si>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</si>
  <si>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</si>
  <si>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</si>
  <si>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</si>
  <si>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</si>
  <si>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</si>
  <si>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</si>
  <si>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</si>
  <si>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</si>
  <si>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</si>
  <si>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</si>
  <si>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</si>
  <si>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</si>
  <si>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</si>
  <si>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</si>
  <si>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</si>
  <si>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</si>
  <si>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</si>
  <si>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</si>
  <si>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</si>
  <si>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</si>
  <si>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</si>
  <si>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</si>
  <si>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</si>
  <si>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</si>
  <si>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</si>
  <si>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</si>
  <si>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</si>
  <si>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</si>
  <si>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</si>
  <si>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</si>
  <si>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</si>
  <si>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</si>
  <si>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</si>
  <si>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</si>
  <si>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</si>
  <si>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</si>
  <si>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</si>
  <si>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</si>
  <si>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</si>
  <si>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</si>
  <si>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</si>
  <si>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</si>
  <si>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</si>
  <si>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</si>
  <si>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</si>
  <si>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</si>
  <si>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</si>
  <si>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</si>
  <si>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</si>
  <si>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</si>
  <si>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</si>
  <si>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</si>
  <si>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</si>
  <si>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</si>
  <si>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</si>
  <si>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</si>
  <si>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</si>
  <si>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</si>
  <si>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</si>
  <si>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</si>
  <si>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</si>
  <si>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</si>
  <si>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</si>
  <si>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</si>
  <si>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</si>
  <si>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</si>
  <si>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</si>
  <si>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</si>
  <si>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</si>
  <si>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</si>
  <si>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</si>
  <si>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</si>
  <si>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</si>
  <si>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</si>
  <si>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</si>
  <si>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</si>
  <si>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</si>
  <si>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</si>
  <si>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</si>
  <si>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</si>
  <si>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</si>
  <si>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</si>
  <si>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</si>
  <si>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</si>
  <si>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</si>
  <si>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</si>
  <si>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</si>
  <si>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</si>
  <si>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</si>
  <si>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</si>
  <si>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</si>
  <si>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</si>
  <si>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</si>
  <si>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</si>
  <si>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</si>
  <si>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</si>
  <si>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</si>
  <si>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</si>
  <si>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</si>
  <si>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</si>
  <si>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</si>
  <si>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</si>
  <si>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</si>
  <si>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</si>
  <si>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</si>
  <si>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</si>
  <si>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</si>
  <si>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</si>
  <si>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</si>
  <si>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</si>
  <si>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</si>
  <si>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</si>
  <si>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</si>
  <si>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</si>
  <si>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</si>
  <si>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</si>
  <si>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</si>
  <si>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</si>
  <si>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</si>
  <si>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</si>
  <si>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</si>
  <si>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</si>
  <si>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</si>
  <si>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</si>
  <si>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</si>
  <si>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</si>
  <si>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</si>
  <si>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</si>
  <si>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</si>
  <si>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</si>
  <si>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</si>
  <si>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</si>
  <si>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</si>
  <si>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</si>
  <si>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</si>
  <si>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</si>
  <si>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</si>
  <si>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</si>
  <si>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</si>
  <si>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</si>
  <si>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</si>
  <si>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</si>
  <si>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</si>
  <si>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</si>
  <si>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</si>
  <si>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</si>
  <si>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</si>
  <si>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</si>
  <si>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</si>
  <si>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</si>
  <si>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</si>
  <si>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</si>
  <si>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</si>
  <si>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</si>
  <si>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</si>
  <si>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</si>
  <si>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</si>
  <si>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</si>
  <si>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</si>
  <si>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</si>
  <si>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</si>
  <si>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</si>
  <si>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</si>
  <si>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</si>
  <si>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</si>
  <si>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</si>
  <si>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</si>
  <si>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</si>
  <si>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</si>
  <si>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</si>
  <si>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</si>
  <si>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</si>
  <si>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</si>
  <si>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</si>
  <si>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</si>
  <si>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</si>
  <si>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</si>
  <si>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</si>
  <si>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</si>
  <si>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</si>
  <si>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</si>
  <si>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</si>
  <si>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</si>
  <si>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</si>
  <si>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</si>
  <si>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</si>
  <si>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</si>
  <si>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</si>
  <si>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</si>
  <si>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</si>
  <si>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</si>
  <si>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</si>
  <si>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</si>
  <si>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</si>
  <si>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</si>
  <si>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</si>
  <si>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</si>
  <si>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</si>
  <si>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</si>
  <si>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</si>
  <si>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</si>
  <si>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</si>
  <si>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</si>
  <si>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</si>
  <si>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</si>
  <si>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</si>
  <si>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</si>
  <si>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</si>
  <si>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</si>
  <si>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</si>
  <si>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</si>
  <si>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</si>
  <si>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</si>
  <si>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</si>
  <si>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</si>
  <si>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</si>
  <si>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</si>
  <si>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</si>
  <si>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</si>
  <si>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</si>
  <si>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</si>
  <si>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</si>
  <si>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</si>
  <si>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</si>
  <si>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</si>
  <si>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</si>
  <si>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</si>
  <si>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</si>
  <si>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</si>
  <si>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</si>
  <si>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</si>
  <si>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</si>
  <si>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</si>
  <si>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</si>
  <si>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</si>
  <si>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</si>
  <si>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</si>
  <si>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</si>
  <si>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</si>
  <si>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</si>
  <si>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</si>
  <si>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</si>
  <si>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</si>
  <si>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</si>
  <si>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</si>
  <si>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</si>
  <si>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</si>
  <si>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</si>
  <si>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</si>
  <si>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</si>
  <si>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</si>
  <si>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</si>
  <si>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</si>
  <si>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</si>
  <si>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</si>
  <si>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</si>
  <si>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</si>
  <si>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</si>
  <si>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</si>
  <si>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</si>
  <si>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</si>
  <si>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</si>
  <si>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</si>
  <si>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</si>
  <si>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</si>
  <si>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</si>
  <si>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</si>
  <si>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</si>
  <si>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</si>
  <si>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</si>
  <si>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</si>
  <si>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</si>
  <si>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</si>
  <si>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</si>
  <si>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</si>
  <si>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</si>
  <si>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</si>
  <si>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</si>
  <si>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</si>
  <si>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</si>
  <si>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</si>
  <si>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</si>
  <si>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</si>
  <si>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</si>
  <si>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</si>
  <si>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</si>
  <si>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</si>
  <si>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</si>
  <si>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</si>
  <si>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</si>
  <si>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</si>
  <si>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</si>
  <si>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</si>
  <si>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</si>
  <si>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</si>
  <si>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</si>
  <si>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</si>
  <si>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</si>
  <si>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</si>
  <si>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</si>
  <si>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</si>
  <si>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</si>
  <si>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</si>
  <si>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</si>
  <si>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</si>
  <si>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</si>
  <si>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</si>
  <si>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</si>
  <si>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</si>
  <si>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</si>
  <si>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</si>
  <si>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</si>
  <si>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</si>
  <si>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</si>
  <si>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</si>
  <si>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</si>
  <si>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</si>
  <si>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</si>
  <si>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</si>
  <si>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</si>
  <si>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</si>
  <si>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</si>
  <si>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</si>
  <si>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</si>
  <si>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</si>
  <si>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</si>
  <si>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</si>
  <si>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</si>
  <si>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</si>
  <si>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</si>
  <si>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</si>
  <si>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</si>
  <si>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</si>
  <si>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</si>
  <si>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</si>
  <si>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</si>
  <si>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</si>
  <si>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</si>
  <si>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</si>
  <si>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</si>
  <si>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</si>
  <si>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</si>
  <si>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</si>
  <si>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</si>
  <si>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</si>
  <si>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</si>
  <si>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</si>
  <si>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</si>
  <si>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</si>
  <si>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</si>
  <si>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</si>
  <si>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</si>
  <si>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</si>
  <si>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</si>
  <si>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</si>
  <si>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</si>
  <si>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</si>
  <si>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</si>
  <si>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</si>
  <si>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</si>
  <si>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</si>
  <si>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</si>
  <si>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</si>
  <si>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</si>
  <si>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</si>
  <si>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</si>
  <si>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</si>
  <si>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</si>
  <si>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</si>
  <si>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</si>
  <si>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</si>
  <si>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</si>
  <si>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</si>
  <si>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</si>
  <si>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</si>
  <si>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</si>
  <si>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</si>
  <si>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</si>
  <si>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</si>
  <si>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</si>
  <si>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</si>
  <si>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</si>
  <si>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</si>
  <si>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</si>
  <si>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</si>
  <si>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</si>
  <si>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</si>
  <si>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</si>
  <si>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</si>
  <si>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</si>
  <si>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</si>
  <si>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</si>
  <si>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</si>
  <si>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</si>
  <si>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</si>
  <si>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</si>
  <si>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</si>
  <si>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</si>
  <si>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</si>
  <si>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</si>
  <si>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</si>
  <si>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</si>
  <si>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</si>
  <si>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</si>
  <si>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</si>
  <si>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</si>
  <si>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</si>
  <si>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</si>
  <si>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</si>
  <si>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</si>
  <si>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</si>
  <si>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</si>
  <si>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</si>
  <si>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</si>
  <si>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</si>
  <si>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</si>
  <si>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</si>
  <si>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</si>
  <si>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</si>
  <si>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</si>
  <si>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</si>
  <si>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</si>
  <si>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</si>
  <si>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</si>
  <si>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</si>
  <si>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</si>
  <si>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</si>
  <si>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</si>
  <si>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</si>
  <si>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</si>
  <si>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</si>
  <si>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</si>
  <si>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</si>
  <si>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</si>
  <si>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</si>
  <si>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</si>
  <si>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</si>
  <si>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</si>
  <si>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</si>
  <si>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</si>
  <si>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</si>
  <si>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</si>
  <si>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</si>
  <si>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</si>
  <si>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</si>
  <si>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</si>
  <si>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</si>
  <si>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</si>
  <si>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</si>
  <si>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</si>
  <si>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</si>
  <si>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</si>
  <si>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</si>
  <si>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</si>
  <si>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</si>
  <si>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</si>
  <si>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</si>
  <si>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</si>
  <si>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</si>
  <si>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</si>
  <si>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</si>
  <si>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</si>
  <si>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</si>
  <si>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</si>
  <si>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</si>
  <si>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</si>
  <si>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</si>
  <si>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</si>
  <si>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</si>
  <si>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</si>
  <si>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</si>
  <si>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</si>
  <si>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</si>
  <si>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</si>
  <si>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</si>
  <si>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</si>
  <si>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</si>
  <si>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</si>
  <si>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</si>
  <si>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</si>
  <si>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</si>
  <si>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</si>
  <si>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</si>
  <si>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</si>
  <si>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</si>
  <si>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</si>
  <si>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</si>
  <si>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</si>
  <si>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</si>
  <si>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</si>
  <si>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</si>
  <si>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</si>
  <si>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</si>
  <si>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</si>
  <si>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</si>
  <si>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</si>
  <si>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</si>
  <si>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</si>
  <si>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</si>
  <si>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</si>
  <si>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</si>
  <si>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</si>
  <si>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</si>
  <si>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</si>
  <si>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</si>
  <si>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</si>
  <si>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</si>
  <si>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</si>
  <si>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</si>
  <si>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</si>
  <si>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</si>
  <si>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</si>
  <si>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</si>
  <si>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</si>
  <si>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</si>
  <si>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</si>
  <si>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</si>
  <si>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</si>
  <si>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</si>
  <si>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</si>
  <si>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</si>
  <si>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</si>
  <si>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</si>
  <si>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</si>
  <si>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</si>
  <si>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</si>
  <si>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</si>
  <si>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</si>
  <si>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</si>
  <si>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</si>
  <si>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</si>
  <si>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</si>
  <si>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</si>
  <si>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</si>
  <si>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</si>
  <si>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</si>
  <si>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</si>
  <si>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</si>
  <si>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</si>
  <si>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</si>
  <si>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</si>
  <si>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</si>
  <si>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</si>
  <si>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</si>
  <si>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</si>
  <si>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</si>
  <si>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</si>
  <si>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</si>
  <si>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</si>
  <si>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</si>
  <si>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</si>
  <si>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</si>
  <si>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</si>
  <si>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</si>
  <si>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</si>
  <si>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</si>
  <si>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</si>
  <si>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</si>
  <si>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</si>
  <si>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</si>
  <si>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</si>
  <si>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</si>
  <si>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</si>
  <si>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</si>
  <si>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</si>
  <si>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</si>
  <si>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</si>
  <si>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</si>
  <si>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</si>
  <si>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</si>
  <si>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</si>
  <si>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</si>
  <si>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</si>
  <si>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</si>
  <si>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</si>
  <si>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</si>
  <si>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</si>
  <si>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</si>
  <si>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</si>
  <si>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</si>
  <si>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</si>
  <si>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</si>
  <si>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</si>
  <si>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</si>
  <si>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</si>
  <si>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</si>
  <si>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</si>
  <si>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</si>
  <si>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</si>
  <si>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</si>
  <si>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</si>
  <si>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</si>
  <si>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</si>
  <si>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</si>
  <si>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</si>
  <si>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</si>
  <si>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</si>
  <si>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</si>
  <si>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</si>
  <si>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</si>
  <si>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</si>
  <si>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</si>
  <si>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</si>
  <si>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</si>
  <si>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</si>
  <si>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</si>
  <si>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</si>
  <si>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</si>
  <si>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</si>
  <si>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</si>
  <si>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</si>
  <si>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</si>
  <si>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</si>
  <si>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</si>
  <si>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</si>
  <si>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</si>
  <si>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</si>
  <si>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</si>
  <si>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</si>
  <si>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</si>
  <si>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</si>
  <si>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</si>
  <si>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</si>
  <si>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</si>
  <si>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</si>
  <si>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</si>
  <si>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</si>
  <si>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</si>
  <si>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</si>
  <si>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</si>
  <si>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</si>
  <si>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</si>
  <si>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</si>
  <si>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</si>
  <si>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</si>
  <si>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</si>
  <si>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</si>
  <si>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</si>
  <si>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</si>
  <si>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</si>
  <si>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</si>
  <si>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</si>
  <si>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</si>
  <si>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</si>
  <si>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</si>
  <si>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</si>
  <si>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</si>
  <si>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</si>
  <si>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</si>
  <si>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</si>
  <si>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</si>
  <si>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</si>
  <si>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</si>
  <si>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</si>
  <si>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</si>
  <si>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</si>
  <si>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</si>
  <si>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</si>
  <si>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</si>
  <si>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</si>
  <si>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</si>
  <si>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</si>
  <si>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</si>
  <si>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</si>
  <si>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</si>
  <si>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</si>
  <si>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</si>
  <si>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</si>
  <si>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</si>
  <si>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</si>
  <si>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</si>
  <si>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</si>
  <si>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</si>
  <si>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</si>
  <si>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</si>
  <si>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</si>
  <si>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</si>
  <si>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</si>
  <si>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</si>
  <si>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</si>
  <si>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</si>
  <si>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</si>
  <si>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</si>
  <si>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</si>
  <si>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</si>
  <si>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</si>
  <si>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</si>
  <si>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</si>
  <si>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</si>
  <si>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</si>
  <si>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</si>
  <si>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</si>
  <si>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</si>
  <si>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</si>
  <si>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</si>
  <si>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</si>
  <si>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</si>
  <si>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</si>
  <si>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</si>
  <si>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</si>
  <si>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</si>
  <si>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</si>
  <si>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</si>
  <si>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</si>
  <si>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</si>
  <si>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</si>
  <si>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</si>
  <si>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</si>
  <si>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</si>
  <si>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</si>
  <si>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</si>
  <si>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</si>
  <si>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</si>
  <si>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</si>
  <si>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</si>
  <si>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</si>
  <si>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</si>
  <si>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</si>
  <si>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</si>
  <si>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</si>
  <si>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</si>
  <si>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</si>
  <si>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</si>
  <si>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</si>
  <si>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</si>
  <si>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</si>
  <si>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</si>
  <si>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</si>
  <si>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</si>
  <si>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</si>
  <si>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</si>
  <si>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</si>
  <si>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</si>
  <si>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</si>
  <si>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</si>
  <si>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</si>
  <si>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</si>
  <si>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</si>
  <si>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</si>
  <si>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</si>
  <si>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</si>
  <si>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</si>
  <si>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</si>
  <si>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</si>
  <si>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</si>
  <si>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</si>
  <si>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</si>
  <si>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</si>
  <si>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</si>
  <si>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</si>
  <si>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</si>
  <si>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</si>
  <si>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</si>
  <si>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</si>
  <si>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</si>
  <si>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</si>
  <si>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</si>
  <si>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</si>
  <si>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</si>
  <si>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</si>
  <si>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</si>
  <si>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</si>
  <si>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</si>
  <si>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</si>
  <si>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</si>
  <si>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</si>
  <si>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</si>
  <si>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</si>
  <si>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</si>
  <si>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</si>
  <si>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</si>
  <si>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</si>
  <si>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</si>
  <si>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</si>
  <si>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</si>
  <si>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</si>
  <si>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</si>
  <si>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</si>
  <si>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</si>
  <si>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</si>
  <si>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</si>
  <si>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</si>
  <si>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</si>
  <si>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</si>
  <si>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</si>
  <si>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</si>
  <si>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</si>
  <si>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</si>
  <si>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</si>
  <si>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</si>
  <si>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</si>
  <si>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</si>
  <si>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</si>
  <si>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</si>
  <si>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</si>
  <si>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</si>
  <si>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</si>
  <si>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</si>
  <si>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</si>
  <si>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</si>
  <si>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</si>
  <si>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</si>
  <si>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</si>
  <si>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</si>
  <si>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</si>
  <si>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</si>
  <si>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</si>
  <si>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</si>
  <si>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</si>
  <si>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</si>
  <si>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</si>
  <si>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</si>
  <si>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</si>
  <si>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</si>
  <si>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</si>
  <si>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</si>
  <si>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</si>
  <si>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</si>
  <si>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</si>
  <si>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</si>
  <si>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</si>
  <si>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</si>
  <si>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</si>
  <si>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</si>
  <si>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</si>
  <si>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</si>
  <si>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</si>
  <si>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</si>
  <si>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</si>
  <si>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</si>
  <si>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</si>
  <si>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</si>
  <si>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</si>
  <si>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</si>
  <si>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</si>
  <si>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</si>
  <si>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</si>
  <si>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</si>
  <si>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</si>
  <si>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</si>
  <si>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</si>
  <si>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</si>
  <si>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</si>
  <si>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</si>
  <si>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</si>
  <si>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</si>
  <si>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</si>
  <si>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</si>
  <si>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</si>
  <si>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</si>
  <si>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</si>
  <si>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</si>
  <si>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</si>
  <si>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</si>
  <si>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</si>
  <si>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</si>
  <si>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</si>
  <si>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</si>
  <si>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</si>
  <si>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</si>
  <si>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</si>
  <si>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</si>
  <si>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</si>
  <si>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</si>
  <si>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</si>
  <si>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</si>
  <si>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</si>
  <si>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</si>
  <si>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</si>
  <si>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</si>
  <si>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</si>
  <si>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</si>
  <si>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</si>
  <si>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</si>
  <si>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</si>
  <si>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</si>
  <si>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</si>
  <si>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</si>
  <si>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</si>
  <si>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</si>
  <si>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</si>
  <si>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</si>
  <si>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</si>
  <si>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</si>
  <si>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</si>
  <si>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</si>
  <si>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</si>
  <si>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</si>
  <si>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</si>
  <si>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</si>
  <si>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</si>
  <si>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</si>
  <si>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</si>
  <si>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</si>
  <si>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</si>
  <si>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</si>
  <si>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</si>
  <si>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</si>
  <si>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</si>
  <si>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</si>
  <si>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</si>
  <si>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</si>
  <si>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</si>
  <si>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</si>
  <si>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</si>
  <si>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</si>
  <si>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</si>
  <si>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</si>
  <si>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</si>
  <si>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</si>
  <si>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</si>
  <si>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</si>
  <si>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</si>
  <si>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</si>
  <si>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</si>
  <si>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</si>
  <si>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</si>
  <si>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</si>
  <si>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</si>
  <si>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</si>
  <si>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</si>
  <si>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</si>
  <si>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</si>
  <si>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</si>
  <si>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</si>
  <si>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</si>
  <si>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</si>
  <si>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</si>
  <si>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</si>
  <si>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</si>
  <si>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</si>
  <si>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</si>
  <si>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</si>
  <si>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</si>
  <si>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</si>
  <si>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</si>
  <si>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</si>
  <si>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</si>
  <si>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</si>
  <si>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</si>
  <si>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</si>
  <si>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</si>
  <si>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</si>
  <si>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</si>
  <si>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</si>
  <si>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</si>
  <si>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</si>
  <si>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</si>
  <si>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</si>
  <si>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</si>
  <si>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</si>
  <si>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</si>
  <si>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</si>
  <si>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</si>
  <si>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</si>
  <si>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</si>
  <si>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</si>
  <si>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</si>
  <si>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</si>
  <si>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</si>
  <si>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</si>
  <si>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</si>
  <si>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</si>
  <si>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</si>
  <si>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</si>
  <si>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</si>
  <si>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</si>
  <si>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</si>
  <si>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</si>
  <si>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</si>
  <si>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</si>
  <si>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</si>
  <si>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</si>
  <si>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</si>
  <si>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</si>
  <si>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</si>
  <si>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</si>
  <si>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</si>
  <si>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</si>
  <si>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</si>
  <si>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</si>
  <si>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</si>
  <si>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</si>
  <si>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</si>
  <si>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</si>
  <si>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</si>
  <si>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</si>
  <si>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</si>
  <si>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</si>
  <si>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</si>
  <si>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</si>
  <si>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</si>
  <si>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</si>
  <si>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</si>
  <si>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</si>
  <si>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</si>
  <si>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</si>
  <si>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</si>
  <si>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</si>
  <si>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</si>
  <si>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</si>
  <si>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</si>
  <si>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</si>
  <si>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</si>
  <si>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</si>
  <si>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</si>
  <si>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</si>
  <si>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</si>
  <si>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</si>
  <si>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</si>
  <si>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</si>
  <si>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</si>
  <si>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</si>
  <si>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</si>
  <si>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</si>
  <si>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</si>
  <si>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</si>
  <si>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</si>
  <si>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</si>
  <si>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</si>
  <si>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</si>
  <si>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</si>
  <si>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</si>
  <si>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</si>
  <si>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</si>
  <si>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</si>
  <si>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</si>
  <si>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</si>
  <si>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</si>
  <si>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</si>
  <si>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</si>
  <si>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</si>
  <si>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</si>
  <si>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</si>
  <si>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</si>
  <si>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</si>
  <si>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</si>
  <si>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</si>
  <si>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</si>
  <si>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</si>
  <si>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</si>
  <si>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</si>
  <si>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</si>
  <si>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</si>
  <si>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</si>
  <si>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</si>
  <si>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</si>
  <si>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</si>
  <si>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</si>
  <si>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</si>
  <si>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</si>
  <si>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</si>
  <si>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</si>
  <si>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</si>
  <si>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</si>
  <si>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</si>
  <si>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</si>
  <si>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</si>
  <si>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</si>
  <si>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</si>
  <si>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</si>
  <si>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</si>
  <si>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</si>
  <si>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</si>
  <si>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</si>
  <si>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</si>
  <si>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</si>
  <si>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</si>
  <si>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</si>
  <si>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</si>
  <si>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</si>
  <si>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</si>
  <si>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</si>
  <si>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</si>
  <si>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</si>
  <si>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</si>
  <si>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</si>
  <si>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</si>
  <si>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</si>
  <si>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</si>
  <si>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</si>
  <si>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</si>
  <si>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</si>
  <si>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</si>
  <si>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</si>
  <si>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</si>
  <si>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</si>
  <si>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</si>
  <si>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</si>
  <si>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</si>
  <si>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</si>
  <si>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</si>
  <si>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</si>
  <si>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</si>
  <si>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</si>
  <si>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</si>
  <si>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</si>
  <si>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</si>
  <si>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</si>
  <si>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</si>
  <si>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</si>
  <si>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</si>
  <si>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</si>
  <si>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</si>
  <si>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</si>
  <si>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</si>
  <si>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</si>
  <si>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</si>
  <si>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</si>
  <si>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</si>
  <si>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</si>
  <si>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</si>
  <si>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</si>
  <si>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</si>
  <si>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</si>
  <si>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</si>
  <si>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</si>
  <si>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</si>
  <si>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</si>
  <si>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</si>
  <si>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</si>
  <si>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</si>
  <si>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</si>
  <si>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</si>
  <si>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</si>
  <si>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</si>
  <si>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</si>
  <si>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</si>
  <si>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</si>
  <si>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</si>
  <si>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</si>
  <si>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</si>
  <si>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</si>
  <si>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</si>
  <si>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</si>
  <si>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</si>
  <si>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</si>
  <si>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</si>
  <si>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</si>
  <si>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</si>
  <si>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</si>
  <si>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</si>
  <si>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</si>
  <si>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</si>
  <si>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</si>
  <si>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</si>
  <si>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</si>
  <si>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</si>
  <si>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</si>
  <si>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</si>
  <si>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</si>
  <si>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</si>
  <si>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</si>
  <si>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</si>
  <si>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</si>
  <si>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</si>
  <si>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</si>
  <si>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</si>
  <si>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</si>
  <si>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</si>
  <si>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</si>
  <si>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</si>
  <si>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</si>
  <si>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</si>
  <si>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</si>
  <si>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</si>
  <si>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</si>
  <si>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</si>
  <si>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</si>
  <si>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</si>
  <si>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</si>
  <si>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</si>
  <si>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</si>
  <si>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</si>
  <si>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</si>
  <si>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</si>
  <si>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</si>
  <si>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</si>
  <si>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</si>
  <si>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</si>
  <si>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</si>
  <si>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</si>
  <si>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</si>
  <si>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</si>
  <si>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</si>
  <si>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</si>
  <si>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</si>
  <si>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</si>
  <si>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</si>
  <si>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</si>
  <si>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</si>
  <si>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</si>
  <si>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</si>
  <si>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</si>
  <si>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</si>
  <si>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</si>
  <si>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</si>
  <si>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</si>
  <si>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</si>
  <si>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</si>
  <si>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</si>
  <si>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</si>
  <si>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</si>
  <si>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</si>
  <si>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</si>
  <si>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</si>
  <si>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</si>
  <si>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</si>
  <si>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</si>
  <si>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</si>
  <si>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</si>
  <si>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</si>
  <si>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</si>
  <si>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</si>
  <si>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</si>
  <si>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</si>
  <si>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</si>
  <si>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</si>
  <si>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</si>
  <si>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</si>
  <si>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</si>
  <si>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</si>
  <si>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</si>
  <si>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</si>
  <si>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</si>
  <si>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</si>
  <si>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</si>
  <si>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</si>
  <si>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</si>
  <si>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</si>
  <si>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</si>
  <si>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</si>
  <si>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</si>
  <si>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</si>
  <si>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</si>
  <si>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</si>
  <si>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</si>
  <si>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</si>
  <si>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</si>
  <si>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</si>
  <si>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</si>
  <si>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</si>
  <si>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</si>
  <si>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</si>
  <si>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</si>
  <si>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</si>
  <si>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</si>
  <si>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</si>
  <si>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</si>
  <si>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</si>
  <si>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</si>
  <si>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</si>
  <si>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</si>
  <si>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</si>
  <si>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</si>
  <si>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</si>
  <si>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</si>
  <si>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</si>
  <si>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</si>
  <si>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</si>
  <si>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</si>
  <si>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</si>
  <si>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</si>
  <si>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</si>
  <si>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</si>
  <si>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</si>
  <si>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</si>
  <si>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</si>
  <si>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</si>
  <si>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</si>
  <si>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</si>
  <si>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</si>
  <si>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</si>
  <si>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</si>
  <si>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</si>
  <si>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</si>
  <si>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</si>
  <si>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</si>
  <si>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</si>
  <si>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</si>
  <si>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</si>
  <si>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</si>
  <si>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</si>
  <si>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</si>
  <si>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</si>
  <si>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</si>
  <si>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</si>
  <si>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</si>
  <si>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</si>
  <si>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</si>
  <si>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</si>
  <si>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</si>
  <si>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</si>
  <si>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</si>
  <si>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</si>
  <si>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</si>
  <si>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</si>
  <si>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</si>
  <si>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</si>
  <si>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</si>
  <si>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</si>
  <si>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</si>
  <si>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</si>
  <si>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</si>
  <si>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</si>
  <si>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</si>
  <si>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</si>
  <si>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</si>
  <si>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</si>
  <si>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</si>
  <si>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</si>
  <si>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</si>
  <si>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</si>
  <si>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</si>
  <si>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</si>
  <si>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</si>
  <si>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</si>
  <si>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</si>
  <si>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</si>
  <si>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</si>
  <si>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</si>
  <si>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</si>
  <si>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</si>
  <si>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</si>
  <si>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</si>
  <si>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</si>
  <si>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</si>
  <si>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</si>
  <si>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</si>
  <si>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</si>
  <si>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</si>
  <si>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</si>
  <si>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</si>
  <si>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</si>
  <si>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</si>
  <si>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</si>
  <si>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</si>
  <si>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</si>
  <si>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</si>
  <si>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</si>
  <si>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</si>
  <si>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</si>
  <si>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</si>
  <si>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</si>
  <si>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</si>
  <si>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</si>
  <si>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</si>
  <si>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</si>
  <si>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</si>
  <si>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</si>
  <si>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</si>
  <si>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</si>
  <si>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</si>
  <si>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</si>
  <si>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</si>
  <si>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</si>
  <si>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</si>
  <si>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</si>
  <si>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</si>
  <si>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</si>
  <si>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</si>
  <si>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</si>
  <si>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</si>
  <si>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</si>
  <si>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</si>
  <si>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</si>
  <si>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</si>
  <si>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</si>
  <si>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</si>
  <si>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</si>
  <si>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</si>
  <si>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</si>
  <si>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</si>
  <si>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</si>
  <si>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</si>
  <si>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</si>
  <si>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</si>
  <si>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</si>
  <si>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</si>
  <si>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</si>
  <si>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</si>
  <si>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</si>
  <si>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</si>
  <si>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</si>
  <si>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</si>
  <si>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</si>
  <si>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</si>
  <si>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</si>
  <si>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</si>
  <si>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</si>
  <si>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</si>
  <si>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</si>
  <si>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</si>
  <si>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</si>
  <si>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</si>
  <si>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</si>
  <si>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</si>
  <si>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</si>
  <si>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</si>
  <si>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</si>
  <si>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</si>
  <si>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</si>
  <si>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</si>
  <si>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</si>
  <si>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</si>
  <si>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</si>
  <si>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</si>
  <si>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</si>
  <si>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</si>
  <si>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</si>
  <si>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</si>
  <si>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</si>
  <si>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</si>
  <si>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</si>
  <si>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</si>
  <si>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</si>
  <si>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</si>
  <si>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</si>
  <si>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</si>
  <si>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</si>
  <si>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</si>
  <si>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</si>
  <si>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</si>
  <si>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</si>
  <si>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</si>
  <si>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</si>
  <si>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</si>
  <si>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</si>
  <si>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</si>
  <si>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</si>
  <si>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</si>
  <si>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</si>
  <si>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</si>
  <si>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</si>
  <si>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</si>
  <si>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</si>
  <si>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</si>
  <si>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</si>
  <si>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</si>
  <si>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</si>
  <si>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</si>
  <si>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</si>
  <si>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</si>
  <si>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</si>
  <si>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</si>
  <si>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</si>
  <si>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</si>
  <si>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</si>
  <si>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</si>
  <si>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</si>
  <si>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</si>
  <si>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</si>
  <si>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</si>
  <si>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</si>
  <si>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</si>
  <si>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</si>
  <si>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</si>
  <si>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</si>
  <si>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</si>
  <si>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</si>
  <si>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</si>
  <si>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</si>
  <si>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</si>
  <si>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</si>
  <si>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</si>
  <si>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</si>
  <si>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</si>
  <si>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</si>
  <si>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</si>
  <si>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</si>
  <si>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</si>
  <si>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</si>
  <si>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</si>
  <si>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</si>
  <si>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</si>
  <si>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</si>
  <si>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</si>
  <si>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</si>
  <si>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</si>
  <si>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</si>
  <si>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</si>
  <si>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</si>
  <si>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</si>
  <si>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</si>
  <si>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</si>
  <si>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</si>
  <si>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</si>
  <si>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</si>
  <si>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</si>
  <si>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</si>
  <si>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</si>
  <si>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</si>
  <si>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</si>
  <si>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</si>
  <si>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</si>
  <si>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</si>
  <si>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</si>
  <si>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</si>
  <si>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</si>
  <si>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</si>
  <si>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</si>
  <si>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</si>
  <si>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</si>
  <si>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</si>
  <si>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</si>
  <si>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</si>
  <si>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</si>
  <si>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</si>
  <si>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</si>
  <si>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</si>
  <si>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</si>
  <si>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</si>
  <si>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</si>
  <si>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</si>
  <si>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</si>
  <si>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</si>
  <si>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</si>
  <si>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</si>
  <si>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</si>
  <si>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</si>
  <si>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</si>
  <si>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</si>
  <si>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</si>
  <si>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</si>
  <si>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</si>
  <si>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</si>
  <si>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</si>
  <si>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</si>
  <si>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</si>
  <si>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</si>
  <si>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</si>
  <si>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</si>
  <si>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</si>
  <si>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</si>
  <si>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</si>
  <si>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</si>
  <si>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</si>
  <si>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</si>
  <si>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</si>
  <si>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</si>
  <si>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</si>
  <si>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</si>
  <si>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</si>
  <si>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</si>
  <si>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</si>
  <si>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</si>
  <si>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</si>
  <si>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</si>
  <si>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</si>
  <si>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</si>
  <si>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</si>
  <si>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</si>
  <si>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</si>
  <si>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</si>
  <si>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</si>
  <si>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</si>
  <si>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</si>
  <si>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</si>
  <si>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</si>
  <si>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</si>
  <si>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</si>
  <si>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</si>
  <si>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</si>
  <si>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</si>
  <si>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</si>
  <si>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</si>
  <si>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</si>
  <si>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</si>
  <si>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</si>
  <si>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</si>
  <si>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</si>
  <si>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</si>
  <si>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</si>
  <si>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</si>
  <si>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</si>
  <si>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</si>
  <si>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</si>
  <si>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</si>
  <si>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</si>
  <si>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</si>
  <si>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</si>
  <si>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</si>
  <si>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</si>
  <si>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</si>
  <si>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</si>
  <si>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</si>
  <si>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</si>
  <si>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</si>
  <si>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</si>
  <si>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</si>
  <si>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</si>
  <si>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</si>
  <si>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</si>
  <si>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</si>
  <si>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</si>
  <si>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</si>
  <si>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</si>
  <si>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</si>
  <si>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</si>
  <si>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</si>
  <si>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</si>
  <si>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</si>
  <si>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</si>
  <si>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</si>
  <si>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</si>
  <si>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</si>
  <si>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</si>
  <si>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</si>
  <si>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</si>
  <si>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</si>
  <si>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</si>
  <si>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</si>
  <si>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</si>
  <si>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</si>
  <si>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</si>
  <si>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</si>
  <si>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</si>
  <si>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</si>
  <si>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</si>
  <si>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</si>
  <si>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</si>
  <si>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</si>
  <si>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</si>
  <si>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</si>
  <si>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</si>
  <si>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</si>
  <si>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</si>
  <si>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</si>
  <si>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</si>
  <si>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</si>
  <si>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</si>
  <si>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</si>
  <si>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</si>
  <si>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</si>
  <si>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</si>
  <si>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</si>
  <si>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</si>
  <si>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</si>
  <si>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</si>
  <si>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</si>
  <si>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</si>
  <si>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</si>
  <si>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</si>
  <si>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</si>
  <si>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</si>
  <si>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</si>
  <si>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</si>
  <si>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</si>
  <si>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</si>
  <si>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</si>
  <si>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</si>
  <si>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</si>
  <si>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</si>
  <si>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</si>
  <si>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</si>
  <si>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</si>
  <si>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</si>
  <si>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</si>
  <si>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</si>
  <si>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</si>
  <si>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</si>
  <si>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</si>
  <si>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</si>
  <si>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</si>
  <si>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</si>
  <si>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</si>
  <si>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</si>
  <si>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</si>
  <si>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</si>
  <si>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</si>
  <si>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</si>
  <si>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</si>
  <si>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</si>
  <si>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</si>
  <si>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</si>
  <si>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</si>
  <si>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</si>
  <si>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</si>
  <si>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</si>
  <si>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</si>
  <si>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</si>
  <si>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</si>
  <si>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</si>
  <si>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</si>
  <si>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</si>
  <si>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</si>
  <si>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</si>
  <si>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</si>
  <si>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</si>
  <si>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</si>
  <si>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</si>
  <si>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</si>
  <si>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</si>
  <si>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</si>
  <si>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</si>
  <si>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</si>
  <si>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</si>
  <si>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</si>
  <si>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</si>
  <si>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</si>
  <si>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</si>
  <si>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</si>
  <si>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</si>
  <si>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</si>
  <si>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</si>
  <si>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</si>
  <si>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</si>
  <si>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</si>
  <si>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</si>
  <si>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</si>
  <si>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</si>
  <si>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</si>
  <si>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</si>
  <si>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</si>
  <si>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</si>
  <si>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</si>
  <si>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</si>
  <si>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</si>
  <si>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</si>
  <si>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</si>
  <si>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</si>
  <si>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</si>
  <si>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</si>
  <si>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</si>
  <si>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</si>
  <si>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</si>
  <si>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</si>
  <si>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</si>
  <si>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</si>
  <si>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</si>
  <si>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</si>
  <si>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</si>
  <si>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</si>
  <si>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</si>
  <si>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</si>
  <si>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</si>
  <si>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</si>
  <si>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</si>
  <si>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</si>
  <si>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</si>
  <si>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</si>
  <si>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</si>
  <si>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</si>
  <si>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</si>
  <si>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</si>
  <si>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</si>
  <si>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</si>
  <si>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</si>
  <si>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</si>
  <si>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</si>
  <si>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</si>
  <si>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</si>
  <si>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</si>
  <si>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</si>
  <si>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</si>
  <si>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</si>
  <si>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</si>
  <si>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</si>
  <si>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</si>
  <si>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</si>
  <si>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</si>
  <si>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</si>
  <si>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</si>
  <si>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</si>
  <si>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</si>
  <si>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</si>
  <si>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</si>
  <si>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</si>
  <si>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</si>
  <si>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</si>
  <si>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</si>
  <si>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</si>
  <si>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</si>
  <si>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</si>
  <si>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</si>
  <si>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</si>
  <si>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</si>
  <si>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</si>
  <si>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</si>
  <si>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</si>
  <si>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</si>
  <si>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</si>
  <si>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</si>
  <si>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</si>
  <si>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</si>
  <si>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</si>
  <si>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</si>
  <si>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</si>
  <si>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</si>
  <si>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</si>
  <si>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</si>
  <si>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</si>
  <si>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</si>
  <si>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</si>
  <si>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</si>
  <si>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</si>
  <si>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</si>
  <si>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</si>
  <si>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</si>
  <si>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</si>
  <si>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</si>
  <si>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</si>
  <si>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</si>
  <si>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</si>
  <si>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</si>
  <si>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</si>
  <si>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</si>
  <si>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</si>
  <si>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</si>
  <si>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</si>
  <si>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</si>
  <si>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</si>
  <si>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</si>
  <si>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</si>
  <si>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</si>
  <si>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</si>
  <si>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</si>
  <si>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</si>
  <si>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</si>
  <si>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</si>
  <si>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</si>
  <si>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</si>
  <si>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</si>
  <si>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</si>
  <si>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</si>
  <si>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</si>
  <si>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</si>
  <si>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</si>
  <si>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</si>
  <si>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</si>
  <si>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</si>
  <si>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</si>
  <si>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</si>
  <si>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</si>
  <si>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</si>
  <si>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</si>
  <si>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</si>
  <si>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</si>
  <si>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</si>
  <si>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</si>
  <si>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</si>
  <si>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</si>
  <si>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</si>
  <si>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</si>
  <si>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</si>
  <si>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</si>
  <si>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</si>
  <si>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</si>
  <si>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</si>
  <si>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</si>
  <si>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</si>
  <si>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</si>
  <si>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</si>
  <si>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</si>
  <si>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</si>
  <si>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</si>
  <si>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</si>
  <si>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</si>
  <si>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</si>
  <si>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</si>
  <si>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</si>
  <si>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</si>
  <si>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</si>
  <si>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</si>
  <si>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</si>
  <si>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</si>
  <si>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</si>
  <si>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</si>
  <si>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</si>
  <si>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</si>
  <si>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</si>
  <si>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</si>
  <si>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</si>
  <si>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</si>
  <si>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</si>
  <si>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</si>
  <si>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</si>
  <si>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</si>
  <si>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</si>
  <si>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</si>
  <si>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</si>
  <si>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</si>
  <si>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</si>
  <si>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</si>
  <si>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</si>
  <si>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</si>
  <si>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</si>
  <si>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</si>
  <si>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</si>
  <si>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</si>
  <si>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</si>
  <si>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</si>
  <si>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</si>
  <si>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</si>
  <si>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</si>
  <si>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</si>
  <si>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</si>
  <si>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</si>
  <si>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</si>
  <si>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</si>
  <si>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</si>
  <si>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</si>
  <si>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</si>
  <si>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</si>
  <si>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</si>
  <si>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</si>
  <si>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</si>
  <si>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</si>
  <si>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</si>
  <si>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</si>
  <si>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</si>
  <si>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</si>
  <si>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</si>
  <si>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</si>
  <si>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</si>
  <si>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</si>
  <si>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</si>
  <si>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</si>
  <si>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</si>
  <si>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</si>
  <si>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</si>
  <si>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</si>
  <si>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</si>
  <si>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</si>
  <si>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</si>
  <si>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</si>
  <si>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</si>
  <si>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</si>
  <si>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</si>
  <si>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</si>
  <si>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</si>
  <si>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</si>
  <si>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</si>
  <si>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</si>
  <si>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</si>
  <si>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</si>
  <si>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</si>
  <si>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</si>
  <si>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</si>
  <si>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</si>
  <si>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</si>
  <si>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</si>
  <si>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</si>
  <si>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</si>
  <si>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</si>
  <si>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</si>
  <si>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</si>
  <si>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</si>
  <si>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</si>
  <si>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</si>
  <si>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</si>
  <si>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</si>
  <si>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</si>
  <si>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</si>
  <si>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</si>
  <si>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</si>
  <si>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</si>
  <si>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</si>
  <si>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</si>
  <si>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</si>
  <si>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</si>
  <si>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</si>
  <si>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</si>
  <si>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</si>
  <si>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</si>
  <si>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</si>
  <si>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</si>
  <si>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</si>
  <si>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</si>
  <si>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</si>
  <si>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</si>
  <si>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</si>
  <si>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</si>
  <si>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</si>
  <si>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</si>
  <si>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</si>
  <si>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</si>
  <si>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</si>
  <si>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</si>
  <si>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</si>
  <si>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</si>
  <si>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</si>
  <si>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</si>
  <si>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</si>
  <si>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</si>
  <si>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</si>
  <si>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</si>
  <si>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</si>
  <si>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</si>
  <si>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</si>
  <si>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</si>
  <si>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</si>
  <si>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</si>
  <si>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</si>
  <si>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</si>
  <si>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</si>
  <si>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</si>
  <si>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</si>
  <si>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</si>
  <si>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</si>
  <si>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</si>
  <si>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</si>
  <si>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</si>
  <si>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</si>
  <si>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</si>
  <si>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</si>
  <si>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</si>
  <si>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</si>
  <si>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</si>
  <si>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</si>
  <si>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</si>
  <si>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</si>
  <si>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</si>
  <si>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</si>
  <si>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</si>
  <si>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</si>
  <si>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</si>
  <si>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</si>
  <si>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</si>
  <si>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</si>
  <si>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</si>
  <si>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</si>
  <si>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</si>
  <si>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</si>
  <si>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</si>
  <si>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</si>
  <si>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</si>
  <si>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</si>
  <si>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</si>
  <si>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</si>
  <si>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</si>
  <si>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</si>
  <si>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</si>
  <si>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</si>
  <si>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</si>
  <si>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</si>
  <si>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</si>
  <si>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</si>
  <si>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</si>
  <si>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</si>
  <si>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</si>
  <si>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</si>
  <si>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</si>
  <si>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</si>
  <si>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</si>
  <si>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</si>
  <si>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</si>
  <si>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</si>
  <si>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</si>
  <si>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</si>
  <si>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</si>
  <si>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</si>
  <si>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</si>
  <si>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</si>
  <si>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</si>
  <si>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</si>
  <si>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</si>
  <si>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</si>
  <si>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</si>
  <si>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</si>
  <si>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</si>
  <si>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</si>
  <si>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</si>
  <si>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</si>
  <si>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</si>
  <si>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</si>
  <si>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</si>
  <si>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</si>
  <si>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</si>
  <si>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</si>
  <si>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</si>
  <si>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</si>
  <si>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</si>
  <si>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</si>
  <si>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</si>
  <si>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</si>
  <si>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</si>
  <si>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</si>
  <si>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</si>
  <si>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</si>
  <si>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</si>
  <si>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</si>
  <si>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</si>
  <si>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</si>
  <si>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</si>
  <si>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</si>
  <si>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</si>
  <si>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</si>
  <si>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</si>
  <si>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</si>
  <si>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</si>
  <si>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</si>
  <si>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</si>
  <si>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</si>
  <si>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</si>
  <si>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</si>
  <si>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</si>
  <si>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</si>
  <si>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</si>
  <si>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</si>
  <si>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</si>
  <si>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</si>
  <si>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</si>
  <si>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</si>
  <si>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</si>
  <si>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</si>
  <si>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</si>
  <si>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</si>
  <si>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</si>
  <si>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</si>
  <si>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</si>
  <si>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</si>
  <si>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</si>
  <si>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</si>
  <si>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</si>
  <si>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</si>
  <si>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</si>
  <si>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</si>
  <si>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</si>
  <si>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</si>
  <si>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</si>
  <si>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</si>
  <si>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</si>
  <si>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</si>
  <si>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</si>
  <si>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</si>
  <si>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</si>
  <si>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</si>
  <si>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</si>
  <si>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</si>
  <si>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</si>
  <si>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</si>
  <si>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</si>
  <si>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</si>
  <si>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</si>
  <si>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</si>
  <si>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</si>
  <si>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</si>
  <si>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</si>
  <si>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</si>
  <si>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</si>
  <si>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</si>
  <si>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</si>
  <si>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</si>
  <si>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</si>
  <si>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</si>
  <si>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</si>
  <si>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</si>
  <si>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</si>
  <si>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</si>
  <si>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</si>
  <si>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</si>
  <si>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</si>
  <si>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</si>
  <si>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</si>
  <si>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</si>
  <si>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</si>
  <si>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</si>
  <si>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</si>
  <si>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</si>
  <si>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</si>
  <si>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</si>
  <si>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</si>
  <si>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</si>
  <si>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</si>
  <si>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</si>
  <si>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</si>
  <si>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</si>
  <si>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</si>
  <si>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</si>
  <si>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</si>
  <si>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</si>
  <si>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</si>
  <si>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</si>
  <si>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</si>
  <si>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</si>
  <si>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</si>
  <si>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</si>
  <si>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</si>
  <si>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</si>
  <si>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</si>
  <si>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</si>
  <si>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</si>
  <si>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</si>
  <si>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</si>
  <si>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</si>
  <si>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</si>
  <si>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</si>
  <si>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</si>
  <si>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</si>
  <si>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</si>
  <si>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</si>
  <si>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</si>
  <si>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</si>
  <si>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</si>
  <si>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</si>
  <si>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</si>
  <si>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</si>
  <si>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</si>
  <si>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</si>
  <si>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</si>
  <si>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</si>
  <si>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</si>
  <si>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</si>
  <si>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</si>
  <si>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</si>
  <si>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</si>
  <si>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</si>
  <si>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</si>
  <si>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</si>
  <si>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</si>
  <si>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</si>
  <si>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</si>
  <si>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</si>
  <si>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</si>
  <si>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</si>
  <si>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</si>
  <si>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</si>
  <si>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</si>
  <si>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</si>
  <si>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</si>
  <si>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</si>
  <si>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</si>
  <si>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</si>
  <si>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</si>
  <si>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</si>
  <si>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</si>
  <si>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</si>
  <si>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</si>
  <si>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</si>
  <si>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</si>
  <si>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</si>
  <si>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</si>
  <si>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</si>
  <si>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</si>
  <si>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</si>
  <si>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</si>
  <si>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</si>
  <si>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</si>
  <si>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</si>
  <si>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</si>
  <si>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</si>
  <si>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</si>
  <si>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</si>
  <si>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</si>
  <si>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</si>
  <si>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</si>
  <si>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</si>
  <si>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</si>
  <si>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</si>
  <si>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</si>
  <si>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</si>
  <si>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</si>
  <si>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</si>
  <si>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</si>
  <si>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</si>
  <si>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</si>
  <si>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</si>
  <si>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</si>
  <si>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</si>
  <si>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</si>
  <si>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</si>
  <si>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</si>
  <si>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</si>
  <si>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</si>
  <si>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</si>
  <si>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</si>
  <si>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</si>
  <si>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</si>
  <si>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</si>
  <si>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</si>
  <si>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</si>
  <si>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</si>
  <si>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</si>
  <si>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</si>
  <si>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</si>
  <si>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</si>
  <si>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</si>
  <si>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</si>
  <si>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</si>
  <si>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</si>
  <si>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</si>
  <si>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</si>
  <si>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</si>
  <si>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</si>
  <si>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</si>
  <si>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</si>
  <si>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</si>
  <si>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</si>
  <si>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</si>
  <si>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</si>
  <si>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</si>
  <si>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</si>
  <si>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</si>
  <si>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</si>
  <si>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</si>
  <si>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</si>
  <si>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</si>
  <si>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</si>
  <si>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</si>
  <si>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</si>
  <si>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</si>
  <si>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</si>
  <si>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</si>
  <si>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</si>
  <si>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</si>
  <si>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</si>
  <si>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</si>
  <si>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</si>
  <si>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</si>
  <si>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</si>
  <si>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</si>
  <si>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</si>
  <si>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</si>
  <si>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</si>
  <si>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</si>
  <si>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</si>
  <si>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</si>
  <si>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</si>
  <si>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</si>
  <si>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</si>
  <si>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</si>
  <si>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</si>
  <si>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</si>
  <si>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</si>
  <si>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</si>
  <si>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</si>
  <si>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</si>
  <si>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</si>
  <si>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</si>
  <si>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</si>
  <si>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</si>
  <si>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</si>
  <si>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</si>
  <si>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</si>
  <si>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</si>
  <si>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</si>
  <si>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</si>
  <si>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</si>
  <si>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</si>
  <si>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</si>
  <si>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</si>
  <si>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</si>
  <si>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</si>
  <si>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</si>
  <si>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</si>
  <si>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</si>
  <si>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</si>
  <si>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</si>
  <si>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</si>
  <si>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</si>
  <si>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</si>
  <si>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</si>
  <si>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</si>
  <si>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</si>
  <si>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</si>
  <si>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</si>
  <si>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</si>
  <si>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</si>
  <si>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</si>
  <si>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</si>
  <si>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</si>
  <si>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</si>
  <si>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</si>
  <si>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</si>
  <si>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</si>
  <si>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</si>
  <si>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</si>
  <si>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</si>
  <si>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</si>
  <si>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</si>
  <si>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</si>
  <si>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</si>
  <si>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</si>
  <si>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</si>
  <si>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</si>
  <si>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</si>
  <si>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</si>
  <si>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</si>
  <si>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</si>
  <si>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</si>
  <si>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</si>
  <si>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</si>
  <si>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</si>
  <si>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</si>
  <si>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</si>
  <si>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</si>
  <si>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</si>
  <si>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</si>
  <si>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</si>
  <si>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</si>
  <si>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</si>
  <si>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</si>
  <si>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</si>
  <si>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</si>
  <si>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</si>
  <si>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</si>
  <si>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</si>
  <si>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</si>
  <si>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</si>
  <si>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</si>
  <si>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</si>
  <si>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</si>
  <si>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</si>
  <si>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</si>
  <si>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</si>
  <si>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</si>
  <si>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</si>
  <si>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</si>
  <si>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</si>
  <si>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</si>
  <si>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</si>
  <si>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</si>
  <si>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</si>
  <si>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</si>
  <si>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</si>
  <si>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</si>
  <si>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</si>
  <si>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</si>
  <si>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</si>
  <si>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</si>
  <si>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</si>
  <si>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</si>
  <si>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</si>
  <si>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</si>
  <si>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</si>
  <si>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</si>
  <si>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</si>
  <si>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</si>
  <si>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</si>
  <si>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</si>
  <si>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</si>
  <si>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</si>
  <si>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</si>
  <si>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</si>
  <si>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</si>
  <si>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</si>
  <si>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</si>
  <si>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</si>
  <si>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</si>
  <si>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</si>
  <si>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</si>
  <si>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</si>
  <si>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</si>
  <si>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</si>
  <si>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</si>
  <si>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</si>
  <si>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</si>
  <si>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</si>
  <si>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</si>
  <si>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</si>
  <si>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</si>
  <si>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</si>
  <si>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</si>
  <si>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</si>
  <si>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</si>
  <si>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</si>
  <si>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</si>
  <si>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</si>
  <si>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</si>
  <si>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</si>
  <si>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</si>
  <si>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</si>
  <si>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</si>
  <si>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</si>
  <si>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</si>
  <si>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</si>
  <si>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</si>
  <si>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</si>
  <si>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</si>
  <si>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</si>
  <si>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</si>
  <si>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</si>
  <si>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</si>
  <si>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</si>
  <si>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</si>
  <si>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</si>
  <si>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</si>
  <si>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</si>
  <si>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</si>
  <si>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</si>
  <si>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</si>
  <si>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</si>
  <si>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</si>
  <si>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</si>
  <si>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</si>
  <si>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</si>
  <si>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</si>
  <si>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</si>
  <si>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</si>
  <si>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</si>
  <si>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</si>
  <si>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</si>
  <si>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</si>
  <si>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</si>
  <si>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</si>
  <si>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</si>
  <si>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</si>
  <si>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</si>
  <si>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</si>
  <si>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</si>
  <si>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</si>
  <si>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</si>
  <si>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</si>
  <si>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</si>
  <si>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</si>
  <si>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</si>
  <si>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</si>
  <si>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</si>
  <si>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</si>
  <si>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</si>
  <si>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</si>
  <si>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</si>
  <si>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</si>
  <si>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</si>
  <si>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</si>
  <si>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</si>
  <si>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</si>
  <si>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</si>
  <si>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</si>
  <si>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</si>
  <si>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</si>
  <si>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</si>
  <si>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</si>
  <si>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</si>
  <si>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</si>
  <si>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</si>
  <si>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</si>
  <si>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</si>
  <si>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</si>
  <si>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</si>
  <si>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</si>
  <si>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</si>
  <si>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</si>
  <si>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</si>
  <si>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</si>
  <si>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</si>
  <si>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</si>
  <si>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</si>
  <si>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</si>
  <si>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</si>
  <si>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</si>
  <si>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</si>
  <si>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</si>
  <si>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</si>
  <si>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</si>
  <si>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</si>
  <si>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</si>
  <si>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</si>
  <si>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</si>
  <si>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</si>
  <si>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</si>
  <si>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</si>
  <si>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</si>
  <si>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</si>
  <si>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</si>
  <si>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</si>
  <si>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</si>
  <si>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</si>
  <si>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</si>
  <si>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</si>
  <si>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</si>
  <si>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</si>
  <si>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</si>
  <si>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</si>
  <si>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</si>
  <si>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</si>
  <si>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</si>
  <si>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</si>
  <si>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</si>
  <si>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</si>
  <si>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</si>
  <si>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</si>
  <si>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</si>
  <si>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</si>
  <si>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</si>
  <si>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</si>
  <si>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</si>
  <si>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</si>
  <si>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</si>
  <si>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</si>
  <si>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</si>
  <si>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</si>
  <si>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</si>
  <si>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</si>
  <si>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</si>
  <si>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</si>
  <si>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</si>
  <si>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</si>
  <si>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</si>
  <si>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</si>
  <si>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</si>
  <si>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</si>
  <si>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</si>
  <si>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</si>
  <si>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</si>
  <si>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</si>
  <si>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</si>
  <si>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</si>
  <si>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</si>
  <si>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</si>
  <si>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</si>
  <si>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</si>
  <si>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</si>
  <si>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</si>
  <si>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</si>
  <si>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</si>
  <si>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</si>
  <si>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</si>
  <si>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</si>
  <si>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</si>
  <si>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</si>
  <si>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</si>
  <si>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</si>
  <si>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</si>
  <si>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</si>
  <si>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</si>
  <si>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</si>
  <si>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</si>
  <si>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</si>
  <si>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</si>
  <si>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</si>
  <si>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</si>
  <si>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</si>
  <si>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</si>
  <si>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</si>
  <si>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</si>
  <si>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</si>
  <si>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</si>
  <si>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</si>
  <si>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</si>
  <si>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</si>
  <si>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</si>
  <si>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</si>
  <si>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</si>
  <si>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</si>
  <si>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</si>
  <si>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</si>
  <si>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</si>
  <si>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</si>
  <si>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</si>
  <si>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</si>
  <si>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</si>
  <si>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</si>
  <si>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</si>
  <si>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</si>
  <si>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</si>
  <si>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</si>
  <si>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</si>
  <si>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</si>
  <si>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</si>
  <si>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</si>
  <si>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</si>
  <si>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</si>
  <si>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</si>
  <si>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</si>
  <si>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</si>
  <si>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</si>
  <si>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</si>
  <si>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</si>
  <si>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</si>
  <si>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</si>
  <si>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</si>
  <si>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</si>
  <si>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</si>
  <si>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</si>
  <si>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</si>
  <si>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</si>
  <si>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</si>
  <si>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</si>
  <si>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</si>
  <si>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</si>
  <si>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</si>
  <si>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</si>
  <si>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</si>
  <si>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</si>
  <si>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</si>
  <si>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</si>
  <si>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</si>
  <si>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</si>
  <si>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</si>
  <si>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</si>
  <si>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</si>
  <si>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</si>
  <si>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</si>
  <si>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</si>
  <si>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</si>
  <si>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</si>
  <si>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</si>
  <si>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</si>
  <si>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</si>
  <si>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</si>
  <si>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</si>
  <si>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</si>
  <si>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</si>
  <si>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</si>
  <si>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</si>
  <si>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</si>
  <si>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</si>
  <si>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</si>
  <si>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</si>
  <si>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</si>
  <si>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</si>
  <si>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</si>
  <si>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</si>
  <si>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</si>
  <si>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</si>
  <si>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</si>
  <si>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</si>
  <si>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</si>
  <si>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</si>
  <si>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</si>
  <si>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</si>
  <si>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</si>
  <si>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</si>
  <si>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</si>
  <si>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</si>
  <si>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</si>
  <si>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</si>
  <si>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</si>
  <si>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</si>
  <si>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</si>
  <si>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</si>
  <si>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</si>
  <si>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</si>
  <si>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</si>
  <si>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</si>
  <si>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</si>
  <si>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</si>
  <si>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</si>
  <si>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</si>
  <si>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</si>
  <si>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</si>
  <si>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</si>
  <si>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</si>
  <si>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</si>
  <si>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</si>
  <si>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</si>
  <si>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</si>
  <si>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</si>
  <si>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</si>
  <si>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</si>
  <si>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</si>
  <si>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</si>
  <si>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</si>
  <si>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</si>
  <si>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</si>
  <si>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</si>
  <si>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</si>
  <si>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</si>
  <si>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</si>
  <si>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</si>
  <si>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</si>
  <si>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</si>
  <si>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</si>
  <si>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</si>
  <si>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</si>
  <si>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</si>
  <si>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</si>
  <si>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</si>
  <si>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</si>
  <si>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</si>
  <si>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</si>
  <si>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</si>
  <si>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</si>
  <si>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</si>
  <si>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</si>
  <si>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</si>
  <si>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</si>
  <si>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</si>
  <si>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</si>
  <si>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</si>
  <si>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</si>
  <si>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</si>
  <si>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</si>
  <si>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</si>
  <si>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</si>
  <si>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</si>
  <si>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</si>
  <si>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</si>
  <si>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</si>
  <si>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</si>
  <si>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</si>
  <si>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</si>
  <si>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</si>
  <si>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</si>
  <si>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</si>
  <si>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</si>
  <si>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</si>
  <si>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</si>
  <si>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</si>
  <si>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</si>
  <si>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</si>
  <si>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</si>
  <si>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</si>
  <si>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</si>
  <si>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</si>
  <si>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</si>
  <si>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</si>
  <si>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</si>
  <si>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</si>
  <si>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</si>
  <si>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</si>
  <si>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</si>
  <si>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</si>
  <si>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</si>
  <si>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</si>
  <si>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</si>
  <si>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</si>
  <si>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</si>
  <si>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</si>
  <si>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</si>
  <si>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</si>
  <si>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</si>
  <si>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</si>
  <si>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</si>
  <si>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</si>
  <si>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</si>
  <si>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</si>
  <si>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</si>
  <si>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</si>
  <si>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</si>
  <si>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</si>
  <si>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</si>
  <si>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</si>
  <si>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</si>
  <si>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</si>
  <si>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</si>
  <si>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</si>
  <si>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</si>
  <si>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</si>
  <si>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</si>
  <si>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</si>
  <si>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</si>
  <si>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</si>
  <si>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</si>
  <si>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</si>
  <si>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</si>
  <si>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</si>
  <si>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</si>
  <si>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</si>
  <si>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</si>
  <si>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</si>
  <si>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</si>
  <si>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</si>
  <si>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</si>
  <si>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</si>
  <si>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</si>
  <si>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</si>
  <si>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</si>
  <si>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</si>
  <si>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</si>
  <si>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</si>
  <si>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</si>
  <si>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</si>
  <si>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</si>
  <si>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</si>
  <si>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</si>
  <si>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</si>
  <si>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</si>
  <si>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</si>
  <si>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</si>
  <si>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</si>
  <si>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</si>
  <si>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</si>
  <si>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</si>
  <si>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</si>
  <si>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</si>
  <si>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</si>
  <si>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</si>
  <si>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</si>
  <si>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</si>
  <si>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</si>
  <si>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</si>
  <si>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</si>
  <si>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</si>
  <si>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</si>
  <si>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</si>
  <si>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</si>
  <si>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</si>
  <si>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</si>
  <si>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</si>
  <si>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</si>
  <si>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</si>
  <si>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</si>
  <si>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</si>
  <si>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</si>
  <si>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</si>
  <si>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</si>
  <si>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</si>
  <si>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</si>
  <si>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</si>
  <si>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</si>
  <si>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</si>
  <si>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</si>
  <si>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</si>
  <si>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</si>
  <si>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</si>
  <si>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</si>
  <si>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</si>
  <si>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</si>
  <si>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</si>
  <si>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</si>
  <si>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</si>
  <si>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</si>
  <si>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</si>
  <si>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</si>
  <si>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</si>
  <si>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</si>
  <si>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</si>
  <si>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</si>
  <si>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</si>
  <si>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</si>
  <si>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</si>
  <si>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</si>
  <si>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</si>
  <si>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</si>
  <si>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</si>
  <si>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</si>
  <si>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</si>
  <si>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</si>
  <si>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</si>
  <si>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</si>
  <si>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</si>
  <si>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</si>
  <si>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</si>
  <si>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</si>
  <si>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</si>
  <si>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</si>
  <si>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</si>
  <si>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</si>
  <si>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</si>
  <si>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</si>
  <si>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</si>
  <si>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</si>
  <si>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</si>
  <si>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</si>
  <si>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</si>
  <si>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</si>
  <si>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</si>
  <si>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</si>
  <si>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</si>
  <si>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</si>
  <si>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</si>
  <si>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</si>
  <si>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</si>
  <si>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</si>
  <si>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</si>
  <si>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</si>
  <si>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</si>
  <si>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</si>
  <si>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</si>
  <si>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</si>
  <si>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</si>
  <si>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</si>
  <si>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</si>
  <si>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</si>
  <si>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</si>
  <si>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</si>
  <si>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</si>
  <si>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</si>
  <si>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</si>
  <si>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</si>
  <si>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</si>
  <si>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</si>
  <si>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</si>
  <si>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</si>
  <si>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</si>
  <si>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</si>
  <si>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</si>
  <si>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</si>
  <si>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</si>
  <si>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</si>
  <si>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</si>
  <si>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</si>
  <si>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</si>
  <si>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</si>
  <si>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</si>
  <si>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</si>
  <si>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</si>
  <si>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</si>
  <si>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</si>
  <si>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</si>
  <si>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</si>
  <si>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</si>
  <si>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</si>
  <si>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</si>
  <si>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</si>
  <si>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</si>
  <si>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</si>
  <si>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</si>
  <si>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</si>
  <si>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</si>
  <si>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</si>
  <si>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</si>
  <si>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</si>
  <si>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</si>
  <si>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</si>
  <si>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</si>
  <si>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</si>
  <si>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</si>
  <si>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</si>
  <si>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</si>
  <si>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</si>
  <si>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</si>
  <si>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</si>
  <si>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</si>
  <si>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</si>
  <si>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</si>
  <si>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</si>
  <si>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</si>
  <si>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</si>
  <si>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</si>
  <si>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</si>
  <si>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</si>
  <si>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</si>
  <si>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</si>
  <si>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</si>
  <si>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</si>
  <si>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</si>
  <si>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</si>
  <si>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</si>
  <si>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</si>
  <si>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</si>
  <si>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</si>
  <si>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</si>
  <si>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</si>
  <si>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</si>
  <si>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</si>
  <si>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</si>
  <si>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</si>
  <si>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</si>
  <si>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</si>
  <si>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</si>
  <si>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</si>
  <si>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</si>
  <si>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</si>
  <si>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</si>
  <si>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</si>
  <si>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</si>
  <si>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</si>
  <si>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</si>
  <si>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</si>
  <si>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</si>
  <si>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</si>
  <si>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</si>
  <si>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</si>
  <si>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</si>
  <si>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</si>
  <si>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</si>
  <si>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</si>
  <si>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</si>
  <si>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</si>
  <si>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</si>
  <si>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</si>
  <si>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</si>
  <si>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</si>
  <si>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</si>
  <si>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</si>
  <si>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</si>
  <si>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</si>
  <si>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</si>
  <si>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</si>
  <si>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</si>
  <si>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</si>
  <si>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</si>
  <si>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</si>
  <si>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</si>
  <si>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</si>
  <si>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</si>
  <si>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</si>
  <si>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</si>
  <si>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</si>
  <si>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</si>
  <si>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</si>
  <si>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</si>
  <si>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</si>
  <si>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</si>
  <si>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</si>
  <si>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</si>
  <si>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</si>
  <si>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</si>
  <si>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</si>
  <si>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</si>
  <si>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</si>
  <si>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</si>
  <si>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</si>
  <si>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</si>
  <si>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</si>
  <si>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</si>
  <si>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</si>
  <si>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</si>
  <si>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</si>
  <si>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</si>
  <si>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</si>
  <si>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</si>
  <si>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</si>
  <si>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</si>
  <si>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</si>
  <si>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</si>
  <si>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</si>
  <si>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</si>
  <si>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</si>
  <si>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</si>
  <si>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</si>
  <si>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</si>
  <si>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</si>
  <si>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</si>
  <si>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</si>
  <si>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</si>
  <si>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</si>
  <si>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</si>
  <si>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</si>
  <si>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</si>
  <si>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</si>
  <si>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</si>
  <si>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</si>
  <si>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</si>
  <si>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</si>
  <si>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</si>
  <si>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</si>
  <si>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</si>
  <si>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</si>
  <si>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</si>
  <si>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</si>
  <si>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</si>
  <si>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</si>
  <si>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</si>
  <si>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</si>
  <si>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</si>
  <si>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</si>
  <si>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</si>
  <si>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</si>
  <si>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</si>
  <si>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</si>
  <si>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</si>
  <si>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</si>
  <si>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</si>
  <si>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</si>
  <si>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</si>
  <si>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</si>
  <si>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</si>
  <si>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</si>
  <si>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</si>
  <si>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</si>
  <si>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</si>
  <si>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</si>
  <si>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</si>
  <si>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</si>
  <si>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</si>
  <si>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</si>
  <si>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</si>
  <si>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</si>
  <si>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</si>
  <si>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</si>
  <si>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</si>
  <si>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</si>
  <si>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</si>
  <si>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</si>
  <si>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</si>
  <si>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</si>
  <si>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</si>
  <si>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</si>
  <si>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</si>
  <si>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</si>
  <si>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</si>
  <si>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</si>
  <si>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</si>
  <si>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</si>
  <si>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</si>
  <si>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</si>
  <si>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</si>
  <si>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</si>
  <si>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</si>
  <si>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</si>
  <si>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</si>
  <si>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</si>
  <si>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</si>
  <si>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</si>
  <si>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</si>
  <si>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</si>
  <si>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</si>
  <si>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</si>
  <si>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</si>
  <si>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</si>
  <si>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</si>
  <si>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</si>
  <si>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</si>
  <si>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</si>
  <si>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</si>
  <si>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</si>
  <si>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</si>
  <si>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</si>
  <si>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</si>
  <si>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</si>
  <si>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</si>
  <si>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</si>
  <si>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</si>
  <si>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</si>
  <si>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</si>
  <si>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</si>
  <si>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</si>
  <si>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</si>
  <si>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</si>
  <si>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</si>
  <si>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</si>
  <si>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</si>
  <si>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</si>
  <si>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</si>
  <si>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</si>
  <si>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</si>
  <si>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</si>
  <si>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</si>
  <si>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</si>
  <si>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</si>
  <si>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</si>
  <si>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</si>
  <si>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</si>
  <si>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</si>
  <si>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</si>
  <si>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</si>
  <si>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</si>
  <si>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</si>
  <si>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</si>
  <si>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</si>
  <si>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</si>
  <si>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</si>
  <si>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</si>
  <si>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</si>
  <si>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</si>
  <si>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</si>
  <si>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</si>
  <si>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</si>
  <si>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</si>
  <si>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Expense:Dublin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</si>
  <si>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</si>
  <si>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</si>
  <si>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</si>
  <si>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</si>
  <si>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</si>
  <si>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</si>
  <si>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</si>
  <si>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</si>
  <si>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</si>
  <si>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intive GmbH</t>
  </si>
  <si>
    <t>Cycode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</si>
  <si>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</si>
  <si>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</si>
  <si>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</si>
  <si>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</si>
  <si>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</si>
  <si>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</si>
  <si>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</si>
  <si>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</si>
  <si>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</si>
  <si>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</si>
  <si>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</si>
  <si>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</si>
  <si>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</si>
  <si>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</si>
  <si>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</si>
  <si>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</si>
  <si>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</si>
  <si>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</si>
  <si>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</si>
  <si>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</si>
  <si>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</si>
  <si>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</si>
  <si>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</si>
  <si>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</si>
  <si>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</si>
  <si>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</si>
  <si>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</si>
  <si>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</si>
  <si>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</si>
  <si>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</si>
  <si>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</si>
  <si>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</si>
  <si>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</si>
  <si>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</si>
  <si>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</si>
  <si>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</si>
  <si>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</si>
  <si>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</si>
  <si>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</si>
  <si>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</si>
  <si>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</si>
  <si>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</si>
  <si>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</si>
  <si>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</si>
  <si>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</si>
  <si>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</si>
  <si>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</si>
  <si>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</si>
  <si>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</si>
  <si>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</si>
  <si>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</si>
  <si>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</si>
  <si>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</si>
  <si>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</si>
  <si>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</si>
  <si>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</si>
  <si>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</si>
  <si>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</si>
  <si>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</si>
  <si>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</si>
  <si>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</si>
  <si>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</si>
  <si>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</si>
  <si>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</si>
  <si>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</si>
  <si>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Twilio Inc.</t>
  </si>
  <si>
    <t>Combined YTD</t>
  </si>
  <si>
    <t>US-EU</t>
  </si>
  <si>
    <t>YTD US-EU</t>
  </si>
  <si>
    <t>FY22 Bud</t>
  </si>
  <si>
    <t>FY 22 YTD Bud</t>
  </si>
  <si>
    <t xml:space="preserve">General &amp; Administrative/Professional </t>
  </si>
  <si>
    <t>Accrued Liabilities</t>
  </si>
  <si>
    <t>YTD US P&amp;L 22 vs 21</t>
  </si>
  <si>
    <t>Deferred Call to Battle Sponsor</t>
  </si>
  <si>
    <t>AppSec Day</t>
  </si>
  <si>
    <t>Miscellaneous</t>
  </si>
  <si>
    <t>Chapter Funding - OotM</t>
  </si>
  <si>
    <t>Conference Income - Other</t>
  </si>
  <si>
    <t>Your Membership</t>
  </si>
  <si>
    <t>HCL Software Products Limited</t>
  </si>
  <si>
    <t>Deferred Revenue:AppSec EU</t>
  </si>
  <si>
    <t>20th Anniversary 2021</t>
  </si>
  <si>
    <t>APAC Prepaid</t>
  </si>
  <si>
    <t>Deferred Revenue:BeNeLux Day</t>
  </si>
  <si>
    <t>Prepaid Expense:APAC Prepaid</t>
  </si>
  <si>
    <t>Prepaid Expense:AppSec EU</t>
  </si>
  <si>
    <t>Secura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</si>
  <si>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</si>
  <si>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</si>
  <si>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</si>
  <si>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</si>
  <si>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</si>
  <si>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</si>
  <si>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Deferred Revenue:LASCON</t>
  </si>
  <si>
    <t>Prepaid Expense:LASCON</t>
  </si>
  <si>
    <t>GuardSquare</t>
  </si>
  <si>
    <t>Portland Training Day</t>
  </si>
  <si>
    <t>Deferred Lightening talks</t>
  </si>
  <si>
    <t>Keshav Rajput</t>
  </si>
  <si>
    <t>Gesmer Updegrove</t>
  </si>
  <si>
    <t>PROBE.LY - SOLUÇÕES DE CIB</t>
  </si>
  <si>
    <t>Github, Inc.</t>
  </si>
  <si>
    <t>Deferred Revenue:AppSec US</t>
  </si>
  <si>
    <t>Deferred Revenue:20th Anniversary 2021</t>
  </si>
  <si>
    <t>Donations-grants</t>
  </si>
  <si>
    <t>YTD 5.22</t>
  </si>
  <si>
    <t xml:space="preserve">Balance sheet Year over Year June 22  US Only </t>
  </si>
  <si>
    <t>US  P&amp;L YOY June 22</t>
  </si>
  <si>
    <t>June 22 Board Summary</t>
  </si>
  <si>
    <t>Deferred Global APAC</t>
  </si>
  <si>
    <t>Jun 30, 21</t>
  </si>
  <si>
    <t>Jun 30, 22</t>
  </si>
  <si>
    <t>Google Summer of CODE</t>
  </si>
  <si>
    <t>Trade Mark Income</t>
  </si>
  <si>
    <t>Jun 21</t>
  </si>
  <si>
    <t>Jun 22</t>
  </si>
  <si>
    <t>Jan - Jun 21</t>
  </si>
  <si>
    <t>Jan - Jun 22</t>
  </si>
  <si>
    <t>Prepaid Expense:SnowFROC</t>
  </si>
  <si>
    <t>Deferred Revenue:Deferred Global APAC</t>
  </si>
  <si>
    <t>RMK Productions, LLC</t>
  </si>
  <si>
    <t>Bounce Security</t>
  </si>
  <si>
    <t>6.22 APSEC P&amp;L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</si>
  <si>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</si>
  <si>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</si>
  <si>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</si>
  <si>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</si>
  <si>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</si>
  <si>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</si>
  <si>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</si>
  <si>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</si>
  <si>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</si>
  <si>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</si>
  <si>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</si>
  <si>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as of  7.20.22</t>
  </si>
  <si>
    <t>June 2022</t>
  </si>
  <si>
    <t>Maxim Baele</t>
  </si>
  <si>
    <t>IriusRisk</t>
  </si>
  <si>
    <t>eShard</t>
  </si>
  <si>
    <t>BLST Security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</si>
</sst>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29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</cellStyleXfs>
  <cellXfs count="170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Continuous"/>
    </xf>
    <xf numFmtId="49" fontId="3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3" fillId="0" borderId="0" xfId="0" applyNumberFormat="1" applyFont="1" applyBorder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</cellXfs>
  <cellStyles count="5">
    <cellStyle name="Bad" xfId="2" builtinId="27"/>
    <cellStyle name="Good" xfId="1" builtinId="26"/>
    <cellStyle name="Hyperlink" xfId="3" builtinId="8"/>
    <cellStyle name="Neutral" xfId="4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image" Target="../media/image10.emf"/><Relationship Id="rId7" Type="http://schemas.openxmlformats.org/officeDocument/2006/relationships/image" Target="../media/image7.emf"/><Relationship Id="rId12" Type="http://schemas.openxmlformats.org/officeDocument/2006/relationships/image" Target="../media/image2.emf"/><Relationship Id="rId2" Type="http://schemas.openxmlformats.org/officeDocument/2006/relationships/image" Target="../media/image8.emf"/><Relationship Id="rId1" Type="http://schemas.openxmlformats.org/officeDocument/2006/relationships/image" Target="../media/image9.emf"/><Relationship Id="rId6" Type="http://schemas.openxmlformats.org/officeDocument/2006/relationships/image" Target="../media/image13.emf"/><Relationship Id="rId11" Type="http://schemas.openxmlformats.org/officeDocument/2006/relationships/image" Target="../media/image3.emf"/><Relationship Id="rId5" Type="http://schemas.openxmlformats.org/officeDocument/2006/relationships/image" Target="../media/image12.emf"/><Relationship Id="rId10" Type="http://schemas.openxmlformats.org/officeDocument/2006/relationships/image" Target="../media/image4.emf"/><Relationship Id="rId4" Type="http://schemas.openxmlformats.org/officeDocument/2006/relationships/image" Target="../media/image11.emf"/><Relationship Id="rId9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2" Type="http://schemas.openxmlformats.org/officeDocument/2006/relationships/image" Target="../media/image76.emf"/><Relationship Id="rId1" Type="http://schemas.openxmlformats.org/officeDocument/2006/relationships/image" Target="../media/image77.emf"/><Relationship Id="rId6" Type="http://schemas.openxmlformats.org/officeDocument/2006/relationships/image" Target="../media/image72.emf"/><Relationship Id="rId5" Type="http://schemas.openxmlformats.org/officeDocument/2006/relationships/image" Target="../media/image73.emf"/><Relationship Id="rId4" Type="http://schemas.openxmlformats.org/officeDocument/2006/relationships/image" Target="../media/image7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5.emf"/><Relationship Id="rId13" Type="http://schemas.openxmlformats.org/officeDocument/2006/relationships/image" Target="../media/image83.emf"/><Relationship Id="rId18" Type="http://schemas.openxmlformats.org/officeDocument/2006/relationships/image" Target="../media/image97.emf"/><Relationship Id="rId3" Type="http://schemas.openxmlformats.org/officeDocument/2006/relationships/image" Target="../media/image90.emf"/><Relationship Id="rId7" Type="http://schemas.openxmlformats.org/officeDocument/2006/relationships/image" Target="../media/image94.emf"/><Relationship Id="rId12" Type="http://schemas.openxmlformats.org/officeDocument/2006/relationships/image" Target="../media/image84.emf"/><Relationship Id="rId17" Type="http://schemas.openxmlformats.org/officeDocument/2006/relationships/image" Target="../media/image96.emf"/><Relationship Id="rId2" Type="http://schemas.openxmlformats.org/officeDocument/2006/relationships/image" Target="../media/image88.emf"/><Relationship Id="rId16" Type="http://schemas.openxmlformats.org/officeDocument/2006/relationships/image" Target="../media/image80.emf"/><Relationship Id="rId1" Type="http://schemas.openxmlformats.org/officeDocument/2006/relationships/image" Target="../media/image89.emf"/><Relationship Id="rId6" Type="http://schemas.openxmlformats.org/officeDocument/2006/relationships/image" Target="../media/image93.emf"/><Relationship Id="rId11" Type="http://schemas.openxmlformats.org/officeDocument/2006/relationships/image" Target="../media/image85.emf"/><Relationship Id="rId5" Type="http://schemas.openxmlformats.org/officeDocument/2006/relationships/image" Target="../media/image92.emf"/><Relationship Id="rId15" Type="http://schemas.openxmlformats.org/officeDocument/2006/relationships/image" Target="../media/image81.emf"/><Relationship Id="rId10" Type="http://schemas.openxmlformats.org/officeDocument/2006/relationships/image" Target="../media/image86.emf"/><Relationship Id="rId4" Type="http://schemas.openxmlformats.org/officeDocument/2006/relationships/image" Target="../media/image91.emf"/><Relationship Id="rId9" Type="http://schemas.openxmlformats.org/officeDocument/2006/relationships/image" Target="../media/image87.emf"/><Relationship Id="rId14" Type="http://schemas.openxmlformats.org/officeDocument/2006/relationships/image" Target="../media/image82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3" Type="http://schemas.openxmlformats.org/officeDocument/2006/relationships/image" Target="../media/image102.emf"/><Relationship Id="rId7" Type="http://schemas.openxmlformats.org/officeDocument/2006/relationships/image" Target="../media/image99.emf"/><Relationship Id="rId2" Type="http://schemas.openxmlformats.org/officeDocument/2006/relationships/image" Target="../media/image100.emf"/><Relationship Id="rId1" Type="http://schemas.openxmlformats.org/officeDocument/2006/relationships/image" Target="../media/image101.emf"/><Relationship Id="rId6" Type="http://schemas.openxmlformats.org/officeDocument/2006/relationships/image" Target="../media/image105.emf"/><Relationship Id="rId5" Type="http://schemas.openxmlformats.org/officeDocument/2006/relationships/image" Target="../media/image104.emf"/><Relationship Id="rId4" Type="http://schemas.openxmlformats.org/officeDocument/2006/relationships/image" Target="../media/image103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3" Type="http://schemas.openxmlformats.org/officeDocument/2006/relationships/image" Target="../media/image112.emf"/><Relationship Id="rId7" Type="http://schemas.openxmlformats.org/officeDocument/2006/relationships/image" Target="../media/image109.emf"/><Relationship Id="rId12" Type="http://schemas.openxmlformats.org/officeDocument/2006/relationships/image" Target="../media/image117.emf"/><Relationship Id="rId2" Type="http://schemas.openxmlformats.org/officeDocument/2006/relationships/image" Target="../media/image110.emf"/><Relationship Id="rId1" Type="http://schemas.openxmlformats.org/officeDocument/2006/relationships/image" Target="../media/image111.emf"/><Relationship Id="rId6" Type="http://schemas.openxmlformats.org/officeDocument/2006/relationships/image" Target="../media/image115.emf"/><Relationship Id="rId11" Type="http://schemas.openxmlformats.org/officeDocument/2006/relationships/image" Target="../media/image116.emf"/><Relationship Id="rId5" Type="http://schemas.openxmlformats.org/officeDocument/2006/relationships/image" Target="../media/image114.emf"/><Relationship Id="rId10" Type="http://schemas.openxmlformats.org/officeDocument/2006/relationships/image" Target="../media/image106.emf"/><Relationship Id="rId4" Type="http://schemas.openxmlformats.org/officeDocument/2006/relationships/image" Target="../media/image113.emf"/><Relationship Id="rId9" Type="http://schemas.openxmlformats.org/officeDocument/2006/relationships/image" Target="../media/image107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emf"/><Relationship Id="rId3" Type="http://schemas.openxmlformats.org/officeDocument/2006/relationships/image" Target="../media/image124.emf"/><Relationship Id="rId7" Type="http://schemas.openxmlformats.org/officeDocument/2006/relationships/image" Target="../media/image121.emf"/><Relationship Id="rId2" Type="http://schemas.openxmlformats.org/officeDocument/2006/relationships/image" Target="../media/image122.emf"/><Relationship Id="rId1" Type="http://schemas.openxmlformats.org/officeDocument/2006/relationships/image" Target="../media/image123.emf"/><Relationship Id="rId6" Type="http://schemas.openxmlformats.org/officeDocument/2006/relationships/image" Target="../media/image127.emf"/><Relationship Id="rId5" Type="http://schemas.openxmlformats.org/officeDocument/2006/relationships/image" Target="../media/image126.emf"/><Relationship Id="rId10" Type="http://schemas.openxmlformats.org/officeDocument/2006/relationships/image" Target="../media/image118.emf"/><Relationship Id="rId4" Type="http://schemas.openxmlformats.org/officeDocument/2006/relationships/image" Target="../media/image125.emf"/><Relationship Id="rId9" Type="http://schemas.openxmlformats.org/officeDocument/2006/relationships/image" Target="../media/image11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14.emf"/><Relationship Id="rId5" Type="http://schemas.openxmlformats.org/officeDocument/2006/relationships/image" Target="../media/image15.emf"/><Relationship Id="rId4" Type="http://schemas.openxmlformats.org/officeDocument/2006/relationships/image" Target="../media/image16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23.emf"/><Relationship Id="rId7" Type="http://schemas.openxmlformats.org/officeDocument/2006/relationships/image" Target="../media/image21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1.emf"/><Relationship Id="rId7" Type="http://schemas.openxmlformats.org/officeDocument/2006/relationships/image" Target="../media/image29.emf"/><Relationship Id="rId12" Type="http://schemas.openxmlformats.org/officeDocument/2006/relationships/image" Target="../media/image39.emf"/><Relationship Id="rId2" Type="http://schemas.openxmlformats.org/officeDocument/2006/relationships/image" Target="../media/image32.emf"/><Relationship Id="rId1" Type="http://schemas.openxmlformats.org/officeDocument/2006/relationships/image" Target="../media/image33.emf"/><Relationship Id="rId6" Type="http://schemas.openxmlformats.org/officeDocument/2006/relationships/image" Target="../media/image35.emf"/><Relationship Id="rId11" Type="http://schemas.openxmlformats.org/officeDocument/2006/relationships/image" Target="../media/image38.emf"/><Relationship Id="rId5" Type="http://schemas.openxmlformats.org/officeDocument/2006/relationships/image" Target="../media/image34.emf"/><Relationship Id="rId10" Type="http://schemas.openxmlformats.org/officeDocument/2006/relationships/image" Target="../media/image37.emf"/><Relationship Id="rId4" Type="http://schemas.openxmlformats.org/officeDocument/2006/relationships/image" Target="../media/image30.emf"/><Relationship Id="rId9" Type="http://schemas.openxmlformats.org/officeDocument/2006/relationships/image" Target="../media/image3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.emf"/><Relationship Id="rId3" Type="http://schemas.openxmlformats.org/officeDocument/2006/relationships/image" Target="../media/image43.emf"/><Relationship Id="rId7" Type="http://schemas.openxmlformats.org/officeDocument/2006/relationships/image" Target="../media/image46.emf"/><Relationship Id="rId2" Type="http://schemas.openxmlformats.org/officeDocument/2006/relationships/image" Target="../media/image44.emf"/><Relationship Id="rId1" Type="http://schemas.openxmlformats.org/officeDocument/2006/relationships/image" Target="../media/image45.emf"/><Relationship Id="rId6" Type="http://schemas.openxmlformats.org/officeDocument/2006/relationships/image" Target="../media/image40.emf"/><Relationship Id="rId5" Type="http://schemas.openxmlformats.org/officeDocument/2006/relationships/image" Target="../media/image41.emf"/><Relationship Id="rId10" Type="http://schemas.openxmlformats.org/officeDocument/2006/relationships/image" Target="../media/image49.emf"/><Relationship Id="rId4" Type="http://schemas.openxmlformats.org/officeDocument/2006/relationships/image" Target="../media/image42.emf"/><Relationship Id="rId9" Type="http://schemas.openxmlformats.org/officeDocument/2006/relationships/image" Target="../media/image48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3" Type="http://schemas.openxmlformats.org/officeDocument/2006/relationships/image" Target="../media/image56.emf"/><Relationship Id="rId7" Type="http://schemas.openxmlformats.org/officeDocument/2006/relationships/image" Target="../media/image60.emf"/><Relationship Id="rId12" Type="http://schemas.openxmlformats.org/officeDocument/2006/relationships/image" Target="../media/image50.emf"/><Relationship Id="rId2" Type="http://schemas.openxmlformats.org/officeDocument/2006/relationships/image" Target="../media/image54.emf"/><Relationship Id="rId1" Type="http://schemas.openxmlformats.org/officeDocument/2006/relationships/image" Target="../media/image55.emf"/><Relationship Id="rId6" Type="http://schemas.openxmlformats.org/officeDocument/2006/relationships/image" Target="../media/image59.emf"/><Relationship Id="rId11" Type="http://schemas.openxmlformats.org/officeDocument/2006/relationships/image" Target="../media/image51.emf"/><Relationship Id="rId5" Type="http://schemas.openxmlformats.org/officeDocument/2006/relationships/image" Target="../media/image58.emf"/><Relationship Id="rId10" Type="http://schemas.openxmlformats.org/officeDocument/2006/relationships/image" Target="../media/image52.emf"/><Relationship Id="rId4" Type="http://schemas.openxmlformats.org/officeDocument/2006/relationships/image" Target="../media/image57.emf"/><Relationship Id="rId9" Type="http://schemas.openxmlformats.org/officeDocument/2006/relationships/image" Target="../media/image53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3" Type="http://schemas.openxmlformats.org/officeDocument/2006/relationships/image" Target="../media/image68.emf"/><Relationship Id="rId7" Type="http://schemas.openxmlformats.org/officeDocument/2006/relationships/image" Target="../media/image65.emf"/><Relationship Id="rId2" Type="http://schemas.openxmlformats.org/officeDocument/2006/relationships/image" Target="../media/image66.emf"/><Relationship Id="rId1" Type="http://schemas.openxmlformats.org/officeDocument/2006/relationships/image" Target="../media/image67.emf"/><Relationship Id="rId6" Type="http://schemas.openxmlformats.org/officeDocument/2006/relationships/image" Target="../media/image71.emf"/><Relationship Id="rId5" Type="http://schemas.openxmlformats.org/officeDocument/2006/relationships/image" Target="../media/image70.emf"/><Relationship Id="rId10" Type="http://schemas.openxmlformats.org/officeDocument/2006/relationships/image" Target="../media/image62.emf"/><Relationship Id="rId4" Type="http://schemas.openxmlformats.org/officeDocument/2006/relationships/image" Target="../media/image69.emf"/><Relationship Id="rId9" Type="http://schemas.openxmlformats.org/officeDocument/2006/relationships/image" Target="../media/image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3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3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3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3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3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3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3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3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3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3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3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3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3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5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5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5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5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5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5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5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6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6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6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6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6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6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1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1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1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00000000-0008-0000-0100-000006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9" name="TextBox7" hidden="1">
              <a:extLst>
                <a:ext uri="{63B3BB69-23CF-44E3-9099-C40C66FF867C}">
                  <a14:compatExt spid="_x0000_s69639"/>
                </a:ext>
                <a:ext uri="{FF2B5EF4-FFF2-40B4-BE49-F238E27FC236}">
                  <a16:creationId xmlns:a16="http://schemas.microsoft.com/office/drawing/2014/main" id="{00000000-0008-0000-0100-000007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0" name="TextBox8" hidden="1">
              <a:extLst>
                <a:ext uri="{63B3BB69-23CF-44E3-9099-C40C66FF867C}">
                  <a14:compatExt spid="_x0000_s69640"/>
                </a:ext>
                <a:ext uri="{FF2B5EF4-FFF2-40B4-BE49-F238E27FC236}">
                  <a16:creationId xmlns:a16="http://schemas.microsoft.com/office/drawing/2014/main" id="{00000000-0008-0000-0100-000008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1" name="TextBox9" hidden="1">
              <a:extLst>
                <a:ext uri="{63B3BB69-23CF-44E3-9099-C40C66FF867C}">
                  <a14:compatExt spid="_x0000_s69641"/>
                </a:ext>
                <a:ext uri="{FF2B5EF4-FFF2-40B4-BE49-F238E27FC236}">
                  <a16:creationId xmlns:a16="http://schemas.microsoft.com/office/drawing/2014/main" id="{00000000-0008-0000-0100-000009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2" name="TextBox10" hidden="1">
              <a:extLst>
                <a:ext uri="{63B3BB69-23CF-44E3-9099-C40C66FF867C}">
                  <a14:compatExt spid="_x0000_s69642"/>
                </a:ext>
                <a:ext uri="{FF2B5EF4-FFF2-40B4-BE49-F238E27FC236}">
                  <a16:creationId xmlns:a16="http://schemas.microsoft.com/office/drawing/2014/main" id="{00000000-0008-0000-0100-00000A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43" name="TextBox11" hidden="1">
              <a:extLst>
                <a:ext uri="{63B3BB69-23CF-44E3-9099-C40C66FF867C}">
                  <a14:compatExt spid="_x0000_s69643"/>
                </a:ext>
                <a:ext uri="{FF2B5EF4-FFF2-40B4-BE49-F238E27FC236}">
                  <a16:creationId xmlns:a16="http://schemas.microsoft.com/office/drawing/2014/main" id="{5D42FC43-F142-4C67-85CD-EBC3CD8125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9644" name="TextBox12" hidden="1">
              <a:extLst>
                <a:ext uri="{63B3BB69-23CF-44E3-9099-C40C66FF867C}">
                  <a14:compatExt spid="_x0000_s69644"/>
                </a:ext>
                <a:ext uri="{FF2B5EF4-FFF2-40B4-BE49-F238E27FC236}">
                  <a16:creationId xmlns:a16="http://schemas.microsoft.com/office/drawing/2014/main" id="{1EAA2BA8-074A-4CE1-84AC-00A7E6819D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0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0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3" name="TextBox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0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4" name="TextBox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0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5" name="TextBox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0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6" name="TextBox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0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5" name="TextBox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6" name="TextBox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9" name="TextBox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0" name="TextBox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1" name="TextBox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0B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2" name="TextBox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0B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3" name="TextBox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0B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4" name="TextBox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0B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1" name="TextBox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2" name="TextBox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3" name="TextBox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00000000-0008-0000-0C00-00000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4" name="TextBox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00000000-0008-0000-0C00-00000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5" name="TextBox9" hidden="1">
              <a:extLst>
                <a:ext uri="{63B3BB69-23CF-44E3-9099-C40C66FF867C}">
                  <a14:compatExt spid="_x0000_s60425"/>
                </a:ext>
                <a:ext uri="{FF2B5EF4-FFF2-40B4-BE49-F238E27FC236}">
                  <a16:creationId xmlns:a16="http://schemas.microsoft.com/office/drawing/2014/main" id="{00000000-0008-0000-0C00-00000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6" name="TextBox10" hidden="1">
              <a:extLst>
                <a:ext uri="{63B3BB69-23CF-44E3-9099-C40C66FF867C}">
                  <a14:compatExt spid="_x0000_s60426"/>
                </a:ext>
                <a:ext uri="{FF2B5EF4-FFF2-40B4-BE49-F238E27FC236}">
                  <a16:creationId xmlns:a16="http://schemas.microsoft.com/office/drawing/2014/main" id="{00000000-0008-0000-0C00-00000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0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0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0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0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0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0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0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0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13" Type="http://schemas.openxmlformats.org/officeDocument/2006/relationships/image" Target="../media/image24.emf"/><Relationship Id="rId18" Type="http://schemas.openxmlformats.org/officeDocument/2006/relationships/control" Target="../activeX/activeX26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1.emf"/><Relationship Id="rId12" Type="http://schemas.openxmlformats.org/officeDocument/2006/relationships/control" Target="../activeX/activeX23.xml"/><Relationship Id="rId17" Type="http://schemas.openxmlformats.org/officeDocument/2006/relationships/image" Target="../media/image26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5" Type="http://schemas.openxmlformats.org/officeDocument/2006/relationships/image" Target="../media/image25.emf"/><Relationship Id="rId10" Type="http://schemas.openxmlformats.org/officeDocument/2006/relationships/control" Target="../activeX/activeX22.xml"/><Relationship Id="rId19" Type="http://schemas.openxmlformats.org/officeDocument/2006/relationships/image" Target="../media/image27.emf"/><Relationship Id="rId4" Type="http://schemas.openxmlformats.org/officeDocument/2006/relationships/control" Target="../activeX/activeX19.xml"/><Relationship Id="rId9" Type="http://schemas.openxmlformats.org/officeDocument/2006/relationships/image" Target="../media/image22.emf"/><Relationship Id="rId14" Type="http://schemas.openxmlformats.org/officeDocument/2006/relationships/control" Target="../activeX/activeX24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9.xml"/><Relationship Id="rId13" Type="http://schemas.openxmlformats.org/officeDocument/2006/relationships/image" Target="../media/image32.emf"/><Relationship Id="rId18" Type="http://schemas.openxmlformats.org/officeDocument/2006/relationships/control" Target="../activeX/activeX34.xml"/><Relationship Id="rId26" Type="http://schemas.openxmlformats.org/officeDocument/2006/relationships/control" Target="../activeX/activeX38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36.emf"/><Relationship Id="rId7" Type="http://schemas.openxmlformats.org/officeDocument/2006/relationships/image" Target="../media/image29.emf"/><Relationship Id="rId12" Type="http://schemas.openxmlformats.org/officeDocument/2006/relationships/control" Target="../activeX/activeX31.xml"/><Relationship Id="rId17" Type="http://schemas.openxmlformats.org/officeDocument/2006/relationships/image" Target="../media/image34.emf"/><Relationship Id="rId25" Type="http://schemas.openxmlformats.org/officeDocument/2006/relationships/image" Target="../media/image38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3.xml"/><Relationship Id="rId20" Type="http://schemas.openxmlformats.org/officeDocument/2006/relationships/control" Target="../activeX/activeX3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8.xml"/><Relationship Id="rId11" Type="http://schemas.openxmlformats.org/officeDocument/2006/relationships/image" Target="../media/image31.emf"/><Relationship Id="rId24" Type="http://schemas.openxmlformats.org/officeDocument/2006/relationships/control" Target="../activeX/activeX37.xml"/><Relationship Id="rId5" Type="http://schemas.openxmlformats.org/officeDocument/2006/relationships/image" Target="../media/image28.emf"/><Relationship Id="rId15" Type="http://schemas.openxmlformats.org/officeDocument/2006/relationships/image" Target="../media/image33.emf"/><Relationship Id="rId23" Type="http://schemas.openxmlformats.org/officeDocument/2006/relationships/image" Target="../media/image37.emf"/><Relationship Id="rId10" Type="http://schemas.openxmlformats.org/officeDocument/2006/relationships/control" Target="../activeX/activeX30.xml"/><Relationship Id="rId19" Type="http://schemas.openxmlformats.org/officeDocument/2006/relationships/image" Target="../media/image35.emf"/><Relationship Id="rId4" Type="http://schemas.openxmlformats.org/officeDocument/2006/relationships/control" Target="../activeX/activeX27.xml"/><Relationship Id="rId9" Type="http://schemas.openxmlformats.org/officeDocument/2006/relationships/image" Target="../media/image30.emf"/><Relationship Id="rId14" Type="http://schemas.openxmlformats.org/officeDocument/2006/relationships/control" Target="../activeX/activeX32.xml"/><Relationship Id="rId22" Type="http://schemas.openxmlformats.org/officeDocument/2006/relationships/control" Target="../activeX/activeX36.xml"/><Relationship Id="rId27" Type="http://schemas.openxmlformats.org/officeDocument/2006/relationships/image" Target="../media/image39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1.xml"/><Relationship Id="rId13" Type="http://schemas.openxmlformats.org/officeDocument/2006/relationships/image" Target="../media/image44.emf"/><Relationship Id="rId18" Type="http://schemas.openxmlformats.org/officeDocument/2006/relationships/control" Target="../activeX/activeX46.xml"/><Relationship Id="rId3" Type="http://schemas.openxmlformats.org/officeDocument/2006/relationships/vmlDrawing" Target="../drawings/vmlDrawing6.vml"/><Relationship Id="rId21" Type="http://schemas.openxmlformats.org/officeDocument/2006/relationships/image" Target="../media/image48.emf"/><Relationship Id="rId7" Type="http://schemas.openxmlformats.org/officeDocument/2006/relationships/image" Target="../media/image41.emf"/><Relationship Id="rId12" Type="http://schemas.openxmlformats.org/officeDocument/2006/relationships/control" Target="../activeX/activeX43.xml"/><Relationship Id="rId17" Type="http://schemas.openxmlformats.org/officeDocument/2006/relationships/image" Target="../media/image46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5.xml"/><Relationship Id="rId20" Type="http://schemas.openxmlformats.org/officeDocument/2006/relationships/control" Target="../activeX/activeX4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40.xml"/><Relationship Id="rId11" Type="http://schemas.openxmlformats.org/officeDocument/2006/relationships/image" Target="../media/image43.emf"/><Relationship Id="rId5" Type="http://schemas.openxmlformats.org/officeDocument/2006/relationships/image" Target="../media/image40.emf"/><Relationship Id="rId15" Type="http://schemas.openxmlformats.org/officeDocument/2006/relationships/image" Target="../media/image45.emf"/><Relationship Id="rId23" Type="http://schemas.openxmlformats.org/officeDocument/2006/relationships/image" Target="../media/image49.emf"/><Relationship Id="rId10" Type="http://schemas.openxmlformats.org/officeDocument/2006/relationships/control" Target="../activeX/activeX42.xml"/><Relationship Id="rId19" Type="http://schemas.openxmlformats.org/officeDocument/2006/relationships/image" Target="../media/image47.emf"/><Relationship Id="rId4" Type="http://schemas.openxmlformats.org/officeDocument/2006/relationships/control" Target="../activeX/activeX39.xml"/><Relationship Id="rId9" Type="http://schemas.openxmlformats.org/officeDocument/2006/relationships/image" Target="../media/image42.emf"/><Relationship Id="rId14" Type="http://schemas.openxmlformats.org/officeDocument/2006/relationships/control" Target="../activeX/activeX44.xml"/><Relationship Id="rId22" Type="http://schemas.openxmlformats.org/officeDocument/2006/relationships/control" Target="../activeX/activeX4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control" Target="../activeX/activeX54.xml"/><Relationship Id="rId18" Type="http://schemas.openxmlformats.org/officeDocument/2006/relationships/image" Target="../media/image57.emf"/><Relationship Id="rId26" Type="http://schemas.openxmlformats.org/officeDocument/2006/relationships/image" Target="../media/image61.emf"/><Relationship Id="rId3" Type="http://schemas.openxmlformats.org/officeDocument/2006/relationships/control" Target="../activeX/activeX49.xml"/><Relationship Id="rId21" Type="http://schemas.openxmlformats.org/officeDocument/2006/relationships/control" Target="../activeX/activeX58.xml"/><Relationship Id="rId7" Type="http://schemas.openxmlformats.org/officeDocument/2006/relationships/control" Target="../activeX/activeX51.xml"/><Relationship Id="rId12" Type="http://schemas.openxmlformats.org/officeDocument/2006/relationships/image" Target="../media/image54.emf"/><Relationship Id="rId17" Type="http://schemas.openxmlformats.org/officeDocument/2006/relationships/control" Target="../activeX/activeX56.xml"/><Relationship Id="rId25" Type="http://schemas.openxmlformats.org/officeDocument/2006/relationships/control" Target="../activeX/activeX60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56.emf"/><Relationship Id="rId20" Type="http://schemas.openxmlformats.org/officeDocument/2006/relationships/image" Target="../media/image58.emf"/><Relationship Id="rId1" Type="http://schemas.openxmlformats.org/officeDocument/2006/relationships/drawing" Target="../drawings/drawing7.xml"/><Relationship Id="rId6" Type="http://schemas.openxmlformats.org/officeDocument/2006/relationships/image" Target="../media/image51.emf"/><Relationship Id="rId11" Type="http://schemas.openxmlformats.org/officeDocument/2006/relationships/control" Target="../activeX/activeX53.xml"/><Relationship Id="rId24" Type="http://schemas.openxmlformats.org/officeDocument/2006/relationships/image" Target="../media/image60.emf"/><Relationship Id="rId5" Type="http://schemas.openxmlformats.org/officeDocument/2006/relationships/control" Target="../activeX/activeX50.xml"/><Relationship Id="rId15" Type="http://schemas.openxmlformats.org/officeDocument/2006/relationships/control" Target="../activeX/activeX55.xml"/><Relationship Id="rId23" Type="http://schemas.openxmlformats.org/officeDocument/2006/relationships/control" Target="../activeX/activeX59.xml"/><Relationship Id="rId10" Type="http://schemas.openxmlformats.org/officeDocument/2006/relationships/image" Target="../media/image53.emf"/><Relationship Id="rId19" Type="http://schemas.openxmlformats.org/officeDocument/2006/relationships/control" Target="../activeX/activeX57.xml"/><Relationship Id="rId4" Type="http://schemas.openxmlformats.org/officeDocument/2006/relationships/image" Target="../media/image50.emf"/><Relationship Id="rId9" Type="http://schemas.openxmlformats.org/officeDocument/2006/relationships/control" Target="../activeX/activeX52.xml"/><Relationship Id="rId14" Type="http://schemas.openxmlformats.org/officeDocument/2006/relationships/image" Target="../media/image55.emf"/><Relationship Id="rId22" Type="http://schemas.openxmlformats.org/officeDocument/2006/relationships/image" Target="../media/image59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21" Type="http://schemas.openxmlformats.org/officeDocument/2006/relationships/control" Target="../activeX/activeX70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68.emf"/><Relationship Id="rId20" Type="http://schemas.openxmlformats.org/officeDocument/2006/relationships/image" Target="../media/image70.emf"/><Relationship Id="rId1" Type="http://schemas.openxmlformats.org/officeDocument/2006/relationships/drawing" Target="../drawings/drawing8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19" Type="http://schemas.openxmlformats.org/officeDocument/2006/relationships/control" Target="../activeX/activeX69.xml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Relationship Id="rId22" Type="http://schemas.openxmlformats.org/officeDocument/2006/relationships/image" Target="../media/image7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13" Type="http://schemas.openxmlformats.org/officeDocument/2006/relationships/image" Target="../media/image76.emf"/><Relationship Id="rId18" Type="http://schemas.openxmlformats.org/officeDocument/2006/relationships/control" Target="../activeX/activeX78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73.emf"/><Relationship Id="rId12" Type="http://schemas.openxmlformats.org/officeDocument/2006/relationships/control" Target="../activeX/activeX75.xml"/><Relationship Id="rId17" Type="http://schemas.openxmlformats.org/officeDocument/2006/relationships/image" Target="../media/image78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7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72.xml"/><Relationship Id="rId11" Type="http://schemas.openxmlformats.org/officeDocument/2006/relationships/image" Target="../media/image75.emf"/><Relationship Id="rId5" Type="http://schemas.openxmlformats.org/officeDocument/2006/relationships/image" Target="../media/image72.emf"/><Relationship Id="rId15" Type="http://schemas.openxmlformats.org/officeDocument/2006/relationships/image" Target="../media/image77.emf"/><Relationship Id="rId10" Type="http://schemas.openxmlformats.org/officeDocument/2006/relationships/control" Target="../activeX/activeX74.xml"/><Relationship Id="rId19" Type="http://schemas.openxmlformats.org/officeDocument/2006/relationships/image" Target="../media/image79.emf"/><Relationship Id="rId4" Type="http://schemas.openxmlformats.org/officeDocument/2006/relationships/control" Target="../activeX/activeX71.xml"/><Relationship Id="rId9" Type="http://schemas.openxmlformats.org/officeDocument/2006/relationships/image" Target="../media/image74.emf"/><Relationship Id="rId14" Type="http://schemas.openxmlformats.org/officeDocument/2006/relationships/control" Target="../activeX/activeX76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4.xml"/><Relationship Id="rId18" Type="http://schemas.openxmlformats.org/officeDocument/2006/relationships/image" Target="../media/image87.emf"/><Relationship Id="rId26" Type="http://schemas.openxmlformats.org/officeDocument/2006/relationships/image" Target="../media/image91.emf"/><Relationship Id="rId21" Type="http://schemas.openxmlformats.org/officeDocument/2006/relationships/control" Target="../activeX/activeX88.xml"/><Relationship Id="rId34" Type="http://schemas.openxmlformats.org/officeDocument/2006/relationships/image" Target="../media/image95.emf"/><Relationship Id="rId7" Type="http://schemas.openxmlformats.org/officeDocument/2006/relationships/control" Target="../activeX/activeX81.xml"/><Relationship Id="rId12" Type="http://schemas.openxmlformats.org/officeDocument/2006/relationships/image" Target="../media/image84.emf"/><Relationship Id="rId17" Type="http://schemas.openxmlformats.org/officeDocument/2006/relationships/control" Target="../activeX/activeX86.xml"/><Relationship Id="rId25" Type="http://schemas.openxmlformats.org/officeDocument/2006/relationships/control" Target="../activeX/activeX90.xml"/><Relationship Id="rId33" Type="http://schemas.openxmlformats.org/officeDocument/2006/relationships/control" Target="../activeX/activeX94.xml"/><Relationship Id="rId38" Type="http://schemas.openxmlformats.org/officeDocument/2006/relationships/image" Target="../media/image97.emf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86.emf"/><Relationship Id="rId20" Type="http://schemas.openxmlformats.org/officeDocument/2006/relationships/image" Target="../media/image88.emf"/><Relationship Id="rId29" Type="http://schemas.openxmlformats.org/officeDocument/2006/relationships/control" Target="../activeX/activeX92.xml"/><Relationship Id="rId1" Type="http://schemas.openxmlformats.org/officeDocument/2006/relationships/drawing" Target="../drawings/drawing10.xml"/><Relationship Id="rId6" Type="http://schemas.openxmlformats.org/officeDocument/2006/relationships/image" Target="../media/image81.emf"/><Relationship Id="rId11" Type="http://schemas.openxmlformats.org/officeDocument/2006/relationships/control" Target="../activeX/activeX83.xml"/><Relationship Id="rId24" Type="http://schemas.openxmlformats.org/officeDocument/2006/relationships/image" Target="../media/image90.emf"/><Relationship Id="rId32" Type="http://schemas.openxmlformats.org/officeDocument/2006/relationships/image" Target="../media/image94.emf"/><Relationship Id="rId37" Type="http://schemas.openxmlformats.org/officeDocument/2006/relationships/control" Target="../activeX/activeX96.xml"/><Relationship Id="rId5" Type="http://schemas.openxmlformats.org/officeDocument/2006/relationships/control" Target="../activeX/activeX80.xml"/><Relationship Id="rId15" Type="http://schemas.openxmlformats.org/officeDocument/2006/relationships/control" Target="../activeX/activeX85.xml"/><Relationship Id="rId23" Type="http://schemas.openxmlformats.org/officeDocument/2006/relationships/control" Target="../activeX/activeX89.xml"/><Relationship Id="rId28" Type="http://schemas.openxmlformats.org/officeDocument/2006/relationships/image" Target="../media/image92.emf"/><Relationship Id="rId36" Type="http://schemas.openxmlformats.org/officeDocument/2006/relationships/image" Target="../media/image96.emf"/><Relationship Id="rId10" Type="http://schemas.openxmlformats.org/officeDocument/2006/relationships/image" Target="../media/image83.emf"/><Relationship Id="rId19" Type="http://schemas.openxmlformats.org/officeDocument/2006/relationships/control" Target="../activeX/activeX87.xml"/><Relationship Id="rId31" Type="http://schemas.openxmlformats.org/officeDocument/2006/relationships/control" Target="../activeX/activeX93.xml"/><Relationship Id="rId4" Type="http://schemas.openxmlformats.org/officeDocument/2006/relationships/image" Target="../media/image80.emf"/><Relationship Id="rId9" Type="http://schemas.openxmlformats.org/officeDocument/2006/relationships/control" Target="../activeX/activeX82.xml"/><Relationship Id="rId14" Type="http://schemas.openxmlformats.org/officeDocument/2006/relationships/image" Target="../media/image85.emf"/><Relationship Id="rId22" Type="http://schemas.openxmlformats.org/officeDocument/2006/relationships/image" Target="../media/image89.emf"/><Relationship Id="rId27" Type="http://schemas.openxmlformats.org/officeDocument/2006/relationships/control" Target="../activeX/activeX91.xml"/><Relationship Id="rId30" Type="http://schemas.openxmlformats.org/officeDocument/2006/relationships/image" Target="../media/image93.emf"/><Relationship Id="rId35" Type="http://schemas.openxmlformats.org/officeDocument/2006/relationships/control" Target="../activeX/activeX95.xml"/><Relationship Id="rId8" Type="http://schemas.openxmlformats.org/officeDocument/2006/relationships/image" Target="../media/image82.emf"/><Relationship Id="rId3" Type="http://schemas.openxmlformats.org/officeDocument/2006/relationships/control" Target="../activeX/activeX7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emf"/><Relationship Id="rId13" Type="http://schemas.openxmlformats.org/officeDocument/2006/relationships/control" Target="../activeX/activeX102.xml"/><Relationship Id="rId18" Type="http://schemas.openxmlformats.org/officeDocument/2006/relationships/image" Target="../media/image105.emf"/><Relationship Id="rId3" Type="http://schemas.openxmlformats.org/officeDocument/2006/relationships/control" Target="../activeX/activeX97.xml"/><Relationship Id="rId7" Type="http://schemas.openxmlformats.org/officeDocument/2006/relationships/control" Target="../activeX/activeX99.xml"/><Relationship Id="rId12" Type="http://schemas.openxmlformats.org/officeDocument/2006/relationships/image" Target="../media/image102.emf"/><Relationship Id="rId17" Type="http://schemas.openxmlformats.org/officeDocument/2006/relationships/control" Target="../activeX/activeX104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104.emf"/><Relationship Id="rId1" Type="http://schemas.openxmlformats.org/officeDocument/2006/relationships/drawing" Target="../drawings/drawing11.xml"/><Relationship Id="rId6" Type="http://schemas.openxmlformats.org/officeDocument/2006/relationships/image" Target="../media/image99.emf"/><Relationship Id="rId11" Type="http://schemas.openxmlformats.org/officeDocument/2006/relationships/control" Target="../activeX/activeX101.xml"/><Relationship Id="rId5" Type="http://schemas.openxmlformats.org/officeDocument/2006/relationships/control" Target="../activeX/activeX98.xml"/><Relationship Id="rId15" Type="http://schemas.openxmlformats.org/officeDocument/2006/relationships/control" Target="../activeX/activeX103.xml"/><Relationship Id="rId10" Type="http://schemas.openxmlformats.org/officeDocument/2006/relationships/image" Target="../media/image101.emf"/><Relationship Id="rId4" Type="http://schemas.openxmlformats.org/officeDocument/2006/relationships/image" Target="../media/image98.emf"/><Relationship Id="rId9" Type="http://schemas.openxmlformats.org/officeDocument/2006/relationships/control" Target="../activeX/activeX100.xml"/><Relationship Id="rId14" Type="http://schemas.openxmlformats.org/officeDocument/2006/relationships/image" Target="../media/image103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13" Type="http://schemas.openxmlformats.org/officeDocument/2006/relationships/control" Target="../activeX/activeX110.xml"/><Relationship Id="rId18" Type="http://schemas.openxmlformats.org/officeDocument/2006/relationships/image" Target="../media/image113.emf"/><Relationship Id="rId26" Type="http://schemas.openxmlformats.org/officeDocument/2006/relationships/image" Target="../media/image117.emf"/><Relationship Id="rId3" Type="http://schemas.openxmlformats.org/officeDocument/2006/relationships/control" Target="../activeX/activeX105.xml"/><Relationship Id="rId21" Type="http://schemas.openxmlformats.org/officeDocument/2006/relationships/control" Target="../activeX/activeX114.xml"/><Relationship Id="rId7" Type="http://schemas.openxmlformats.org/officeDocument/2006/relationships/control" Target="../activeX/activeX107.xml"/><Relationship Id="rId12" Type="http://schemas.openxmlformats.org/officeDocument/2006/relationships/image" Target="../media/image110.emf"/><Relationship Id="rId17" Type="http://schemas.openxmlformats.org/officeDocument/2006/relationships/control" Target="../activeX/activeX112.xml"/><Relationship Id="rId25" Type="http://schemas.openxmlformats.org/officeDocument/2006/relationships/control" Target="../activeX/activeX116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112.emf"/><Relationship Id="rId20" Type="http://schemas.openxmlformats.org/officeDocument/2006/relationships/image" Target="../media/image114.emf"/><Relationship Id="rId1" Type="http://schemas.openxmlformats.org/officeDocument/2006/relationships/drawing" Target="../drawings/drawing12.xml"/><Relationship Id="rId6" Type="http://schemas.openxmlformats.org/officeDocument/2006/relationships/image" Target="../media/image107.emf"/><Relationship Id="rId11" Type="http://schemas.openxmlformats.org/officeDocument/2006/relationships/control" Target="../activeX/activeX109.xml"/><Relationship Id="rId24" Type="http://schemas.openxmlformats.org/officeDocument/2006/relationships/image" Target="../media/image116.emf"/><Relationship Id="rId5" Type="http://schemas.openxmlformats.org/officeDocument/2006/relationships/control" Target="../activeX/activeX106.xml"/><Relationship Id="rId15" Type="http://schemas.openxmlformats.org/officeDocument/2006/relationships/control" Target="../activeX/activeX111.xml"/><Relationship Id="rId23" Type="http://schemas.openxmlformats.org/officeDocument/2006/relationships/control" Target="../activeX/activeX115.xml"/><Relationship Id="rId10" Type="http://schemas.openxmlformats.org/officeDocument/2006/relationships/image" Target="../media/image109.emf"/><Relationship Id="rId19" Type="http://schemas.openxmlformats.org/officeDocument/2006/relationships/control" Target="../activeX/activeX113.xml"/><Relationship Id="rId4" Type="http://schemas.openxmlformats.org/officeDocument/2006/relationships/image" Target="../media/image106.emf"/><Relationship Id="rId9" Type="http://schemas.openxmlformats.org/officeDocument/2006/relationships/control" Target="../activeX/activeX108.xml"/><Relationship Id="rId14" Type="http://schemas.openxmlformats.org/officeDocument/2006/relationships/image" Target="../media/image111.emf"/><Relationship Id="rId22" Type="http://schemas.openxmlformats.org/officeDocument/2006/relationships/image" Target="../media/image115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emf"/><Relationship Id="rId13" Type="http://schemas.openxmlformats.org/officeDocument/2006/relationships/control" Target="../activeX/activeX122.xml"/><Relationship Id="rId18" Type="http://schemas.openxmlformats.org/officeDocument/2006/relationships/image" Target="../media/image125.emf"/><Relationship Id="rId3" Type="http://schemas.openxmlformats.org/officeDocument/2006/relationships/control" Target="../activeX/activeX117.xml"/><Relationship Id="rId21" Type="http://schemas.openxmlformats.org/officeDocument/2006/relationships/control" Target="../activeX/activeX126.xml"/><Relationship Id="rId7" Type="http://schemas.openxmlformats.org/officeDocument/2006/relationships/control" Target="../activeX/activeX119.xml"/><Relationship Id="rId12" Type="http://schemas.openxmlformats.org/officeDocument/2006/relationships/image" Target="../media/image122.emf"/><Relationship Id="rId17" Type="http://schemas.openxmlformats.org/officeDocument/2006/relationships/control" Target="../activeX/activeX124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124.emf"/><Relationship Id="rId20" Type="http://schemas.openxmlformats.org/officeDocument/2006/relationships/image" Target="../media/image126.emf"/><Relationship Id="rId1" Type="http://schemas.openxmlformats.org/officeDocument/2006/relationships/drawing" Target="../drawings/drawing13.xml"/><Relationship Id="rId6" Type="http://schemas.openxmlformats.org/officeDocument/2006/relationships/image" Target="../media/image119.emf"/><Relationship Id="rId11" Type="http://schemas.openxmlformats.org/officeDocument/2006/relationships/control" Target="../activeX/activeX121.xml"/><Relationship Id="rId5" Type="http://schemas.openxmlformats.org/officeDocument/2006/relationships/control" Target="../activeX/activeX118.xml"/><Relationship Id="rId15" Type="http://schemas.openxmlformats.org/officeDocument/2006/relationships/control" Target="../activeX/activeX123.xml"/><Relationship Id="rId10" Type="http://schemas.openxmlformats.org/officeDocument/2006/relationships/image" Target="../media/image121.emf"/><Relationship Id="rId19" Type="http://schemas.openxmlformats.org/officeDocument/2006/relationships/control" Target="../activeX/activeX125.xml"/><Relationship Id="rId4" Type="http://schemas.openxmlformats.org/officeDocument/2006/relationships/image" Target="../media/image118.emf"/><Relationship Id="rId9" Type="http://schemas.openxmlformats.org/officeDocument/2006/relationships/control" Target="../activeX/activeX120.xml"/><Relationship Id="rId14" Type="http://schemas.openxmlformats.org/officeDocument/2006/relationships/image" Target="../media/image123.emf"/><Relationship Id="rId22" Type="http://schemas.openxmlformats.org/officeDocument/2006/relationships/image" Target="../media/image127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image" Target="../media/image18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5.emf"/><Relationship Id="rId12" Type="http://schemas.openxmlformats.org/officeDocument/2006/relationships/control" Target="../activeX/activeX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4.xml"/><Relationship Id="rId11" Type="http://schemas.openxmlformats.org/officeDocument/2006/relationships/image" Target="../media/image17.emf"/><Relationship Id="rId5" Type="http://schemas.openxmlformats.org/officeDocument/2006/relationships/image" Target="../media/image14.emf"/><Relationship Id="rId15" Type="http://schemas.openxmlformats.org/officeDocument/2006/relationships/image" Target="../media/image19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6.emf"/><Relationship Id="rId14" Type="http://schemas.openxmlformats.org/officeDocument/2006/relationships/control" Target="../activeX/activeX1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A1:F34"/>
  <sheetViews>
    <sheetView tabSelected="1" workbookViewId="0">
      <selection activeCell="M18" sqref="M18"/>
    </sheetView>
  </sheetViews>
  <sheetFormatPr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" spans="1:6" x14ac:dyDescent="0.25">
      <c r="B1"/>
    </row>
    <row r="12" spans="1:6" ht="15.75" x14ac:dyDescent="0.25">
      <c r="B12" s="98">
        <v>44742</v>
      </c>
    </row>
    <row r="13" spans="1:6" ht="26.25" x14ac:dyDescent="0.4">
      <c r="B13" s="98"/>
      <c r="D13" s="99" t="s">
        <v>223</v>
      </c>
      <c r="E13" s="99"/>
      <c r="F13" s="99"/>
    </row>
    <row r="14" spans="1:6" x14ac:dyDescent="0.25">
      <c r="A14" s="100"/>
      <c r="B14" s="35" t="s">
        <v>7843</v>
      </c>
    </row>
    <row r="15" spans="1:6" hidden="1" x14ac:dyDescent="0.25">
      <c r="A15" s="100"/>
      <c r="B15" s="35" t="s">
        <v>7716</v>
      </c>
    </row>
    <row r="16" spans="1:6" x14ac:dyDescent="0.25">
      <c r="A16" s="100"/>
      <c r="B16" s="101" t="s">
        <v>7844</v>
      </c>
    </row>
    <row r="17" spans="1:3" x14ac:dyDescent="0.25">
      <c r="A17" s="100"/>
      <c r="B17" s="101" t="s">
        <v>7809</v>
      </c>
      <c r="C17" s="101"/>
    </row>
    <row r="18" spans="1:3" x14ac:dyDescent="0.25">
      <c r="A18" s="100"/>
      <c r="B18" s="101" t="s">
        <v>7845</v>
      </c>
    </row>
    <row r="19" spans="1:3" x14ac:dyDescent="0.25">
      <c r="A19" s="100"/>
      <c r="B19" s="101" t="s">
        <v>7799</v>
      </c>
    </row>
    <row r="20" spans="1:3" hidden="1" x14ac:dyDescent="0.25">
      <c r="A20" s="100"/>
      <c r="B20" s="101" t="s">
        <v>7698</v>
      </c>
    </row>
    <row r="21" spans="1:3" hidden="1" x14ac:dyDescent="0.25">
      <c r="A21" s="100"/>
      <c r="B21" s="101" t="s">
        <v>7699</v>
      </c>
    </row>
    <row r="22" spans="1:3" hidden="1" x14ac:dyDescent="0.25">
      <c r="A22" s="100"/>
      <c r="B22" s="101" t="s">
        <v>7700</v>
      </c>
    </row>
    <row r="23" spans="1:3" hidden="1" x14ac:dyDescent="0.25">
      <c r="A23" s="100"/>
      <c r="B23" s="101" t="s">
        <v>7701</v>
      </c>
    </row>
    <row r="24" spans="1:3" hidden="1" x14ac:dyDescent="0.25">
      <c r="A24" s="100"/>
      <c r="B24" s="101" t="s">
        <v>7702</v>
      </c>
    </row>
    <row r="25" spans="1:3" hidden="1" x14ac:dyDescent="0.25">
      <c r="A25" s="100"/>
      <c r="B25" s="101" t="s">
        <v>7703</v>
      </c>
    </row>
    <row r="26" spans="1:3" ht="15" hidden="1" customHeight="1" x14ac:dyDescent="0.25">
      <c r="A26" s="100"/>
      <c r="B26" s="101" t="s">
        <v>7704</v>
      </c>
    </row>
    <row r="27" spans="1:3" hidden="1" x14ac:dyDescent="0.25">
      <c r="A27" s="100"/>
      <c r="B27" s="102" t="s">
        <v>7705</v>
      </c>
    </row>
    <row r="28" spans="1:3" x14ac:dyDescent="0.25">
      <c r="A28" s="100"/>
      <c r="B28" s="102" t="s">
        <v>7717</v>
      </c>
    </row>
    <row r="29" spans="1:3" x14ac:dyDescent="0.25">
      <c r="A29" s="100"/>
      <c r="B29" s="102" t="s">
        <v>7718</v>
      </c>
    </row>
    <row r="30" spans="1:3" x14ac:dyDescent="0.25">
      <c r="A30" s="100"/>
      <c r="B30" s="102" t="s">
        <v>7719</v>
      </c>
    </row>
    <row r="31" spans="1:3" x14ac:dyDescent="0.25">
      <c r="A31" s="100"/>
      <c r="B31" s="102" t="s">
        <v>7859</v>
      </c>
    </row>
    <row r="32" spans="1:3" ht="15.75" x14ac:dyDescent="0.25">
      <c r="B32" s="103" t="s">
        <v>7706</v>
      </c>
    </row>
    <row r="34" spans="2:2" x14ac:dyDescent="0.25">
      <c r="B34" s="75" t="s">
        <v>7825</v>
      </c>
    </row>
  </sheetData>
  <hyperlinks>
    <hyperlink ref="B15" location="'Balance Sheet Summary'!A1" display="Balance Sheet Summary Oct 21" xr:uid="{FB934DAD-DD8B-47F4-B99B-D8D88B2306AC}"/>
    <hyperlink ref="B16" location="'June 22  vs June 21 P&amp;L'!A1" display="US  P&amp;L YOY June 22" xr:uid="{7E3E77D8-D0F9-4915-9619-7F510AE47A75}"/>
    <hyperlink ref="B17" location="'YTD US Profit and Loss'!A1" display="YTD US P&amp;L 22 vs 21" xr:uid="{A818815C-C439-454C-A167-E0965DC164C1}"/>
    <hyperlink ref="B18" location="'Board Summary'!A1" display="June 22 Board Summary" xr:uid="{EE80E622-5DA2-4EB8-8D92-1D0857E8E2E9}"/>
    <hyperlink ref="B19" location="'FY 22 approved Bud'!A1" display="FY 22 Bud APPROVED " xr:uid="{97F6FFC5-F80C-4EA3-926B-D0640AF6ACC8}"/>
    <hyperlink ref="B14" location="'US Balance Sheet Year over Year'!A1" display="Balance sheet Year over Year June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>
    <pageSetUpPr fitToPage="1"/>
  </sheetPr>
  <dimension ref="A1:G30"/>
  <sheetViews>
    <sheetView zoomScale="160" zoomScaleNormal="16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140625" style="75" bestFit="1" customWidth="1"/>
    <col min="7" max="16384" width="9.140625" style="96"/>
  </cols>
  <sheetData>
    <row r="1" spans="1:7" s="152" customFormat="1" ht="15.75" thickBot="1" x14ac:dyDescent="0.3">
      <c r="A1" s="74"/>
      <c r="B1" s="74"/>
      <c r="C1" s="74"/>
      <c r="D1" s="74"/>
      <c r="E1" s="74"/>
      <c r="F1" s="87" t="s">
        <v>7854</v>
      </c>
      <c r="G1" s="39" t="s">
        <v>224</v>
      </c>
    </row>
    <row r="2" spans="1:7" ht="15.75" thickTop="1" x14ac:dyDescent="0.25">
      <c r="A2" s="77"/>
      <c r="B2" s="77"/>
      <c r="C2" s="77" t="s">
        <v>7732</v>
      </c>
      <c r="D2" s="77"/>
      <c r="E2" s="77"/>
      <c r="F2" s="83"/>
    </row>
    <row r="3" spans="1:7" x14ac:dyDescent="0.25">
      <c r="A3" s="77"/>
      <c r="B3" s="77"/>
      <c r="C3" s="77"/>
      <c r="D3" s="77" t="s">
        <v>49</v>
      </c>
      <c r="E3" s="77"/>
      <c r="F3" s="83">
        <v>186465.65</v>
      </c>
    </row>
    <row r="4" spans="1:7" x14ac:dyDescent="0.25">
      <c r="A4" s="77"/>
      <c r="B4" s="77"/>
      <c r="C4" s="77"/>
      <c r="D4" s="77" t="s">
        <v>7731</v>
      </c>
      <c r="E4" s="77"/>
      <c r="F4" s="83"/>
    </row>
    <row r="5" spans="1:7" x14ac:dyDescent="0.25">
      <c r="A5" s="77"/>
      <c r="B5" s="77"/>
      <c r="C5" s="77"/>
      <c r="D5" s="77" t="s">
        <v>7730</v>
      </c>
      <c r="E5" s="77"/>
      <c r="F5" s="83"/>
    </row>
    <row r="6" spans="1:7" x14ac:dyDescent="0.25">
      <c r="A6" s="77"/>
      <c r="B6" s="77"/>
      <c r="C6" s="77"/>
      <c r="D6" s="77"/>
      <c r="E6" s="77" t="s">
        <v>53</v>
      </c>
      <c r="F6" s="83">
        <v>-92943.5</v>
      </c>
    </row>
    <row r="7" spans="1:7" x14ac:dyDescent="0.25">
      <c r="A7" s="77"/>
      <c r="B7" s="77"/>
      <c r="C7" s="77"/>
      <c r="D7" s="77"/>
      <c r="E7" s="77" t="s">
        <v>62</v>
      </c>
      <c r="F7" s="83">
        <v>-8336.49</v>
      </c>
    </row>
    <row r="8" spans="1:7" x14ac:dyDescent="0.25">
      <c r="A8" s="77"/>
      <c r="B8" s="77"/>
      <c r="C8" s="77"/>
      <c r="D8" s="77"/>
      <c r="E8" s="77" t="s">
        <v>7808</v>
      </c>
      <c r="F8" s="83">
        <v>-13300.37</v>
      </c>
    </row>
    <row r="9" spans="1:7" x14ac:dyDescent="0.25">
      <c r="A9" s="77"/>
      <c r="B9" s="77"/>
      <c r="C9" s="77"/>
      <c r="D9" s="77"/>
      <c r="E9" s="77" t="s">
        <v>7856</v>
      </c>
      <c r="F9" s="83">
        <v>46250</v>
      </c>
    </row>
    <row r="10" spans="1:7" x14ac:dyDescent="0.25">
      <c r="A10" s="77"/>
      <c r="B10" s="77"/>
      <c r="C10" s="77"/>
      <c r="D10" s="77"/>
      <c r="E10" s="77" t="s">
        <v>7728</v>
      </c>
      <c r="F10" s="83">
        <v>74433.03</v>
      </c>
    </row>
    <row r="11" spans="1:7" x14ac:dyDescent="0.25">
      <c r="A11" s="77"/>
      <c r="B11" s="77"/>
      <c r="C11" s="77"/>
      <c r="D11" s="77"/>
      <c r="E11" s="77" t="s">
        <v>7727</v>
      </c>
      <c r="F11" s="83">
        <v>25000</v>
      </c>
    </row>
    <row r="12" spans="1:7" x14ac:dyDescent="0.25">
      <c r="A12" s="77"/>
      <c r="B12" s="77"/>
      <c r="C12" s="77"/>
      <c r="D12" s="77"/>
      <c r="E12" s="77" t="s">
        <v>7840</v>
      </c>
      <c r="F12" s="83">
        <v>-7470</v>
      </c>
    </row>
    <row r="13" spans="1:7" x14ac:dyDescent="0.25">
      <c r="A13" s="77"/>
      <c r="B13" s="77"/>
      <c r="C13" s="77"/>
      <c r="D13" s="77"/>
      <c r="E13" s="77" t="s">
        <v>7839</v>
      </c>
      <c r="F13" s="83">
        <v>178750</v>
      </c>
    </row>
    <row r="14" spans="1:7" x14ac:dyDescent="0.25">
      <c r="A14" s="77"/>
      <c r="B14" s="77"/>
      <c r="C14" s="77"/>
      <c r="D14" s="77"/>
      <c r="E14" s="77" t="s">
        <v>7820</v>
      </c>
      <c r="F14" s="83">
        <v>-14918.5</v>
      </c>
    </row>
    <row r="15" spans="1:7" x14ac:dyDescent="0.25">
      <c r="A15" s="77"/>
      <c r="B15" s="77"/>
      <c r="C15" s="77"/>
      <c r="D15" s="77"/>
      <c r="E15" s="77" t="s">
        <v>7817</v>
      </c>
      <c r="F15" s="83">
        <v>-67775.03</v>
      </c>
    </row>
    <row r="16" spans="1:7" x14ac:dyDescent="0.25">
      <c r="A16" s="77"/>
      <c r="B16" s="77"/>
      <c r="C16" s="77"/>
      <c r="D16" s="77"/>
      <c r="E16" s="77" t="s">
        <v>7830</v>
      </c>
      <c r="F16" s="83">
        <v>14076.26</v>
      </c>
    </row>
    <row r="17" spans="1:6" ht="15.75" thickBot="1" x14ac:dyDescent="0.3">
      <c r="A17" s="77"/>
      <c r="B17" s="77"/>
      <c r="C17" s="77"/>
      <c r="D17" s="77"/>
      <c r="E17" s="77" t="s">
        <v>7695</v>
      </c>
      <c r="F17" s="82">
        <v>-1379.68</v>
      </c>
    </row>
    <row r="18" spans="1:6" x14ac:dyDescent="0.25">
      <c r="A18" s="77"/>
      <c r="B18" s="77"/>
      <c r="C18" s="77" t="s">
        <v>7726</v>
      </c>
      <c r="D18" s="77"/>
      <c r="E18" s="77"/>
      <c r="F18" s="83">
        <f>ROUND(SUM(F2:F3)+SUM(F6:F17),5)</f>
        <v>318851.37</v>
      </c>
    </row>
    <row r="19" spans="1:6" x14ac:dyDescent="0.25">
      <c r="A19" s="77"/>
      <c r="B19" s="77"/>
      <c r="C19" s="77" t="s">
        <v>7725</v>
      </c>
      <c r="D19" s="77"/>
      <c r="E19" s="77"/>
      <c r="F19" s="83"/>
    </row>
    <row r="20" spans="1:6" s="95" customFormat="1" ht="11.25" x14ac:dyDescent="0.2">
      <c r="A20" s="77"/>
      <c r="B20" s="77"/>
      <c r="C20" s="77"/>
      <c r="D20" s="77" t="s">
        <v>86</v>
      </c>
      <c r="E20" s="77"/>
      <c r="F20" s="83">
        <v>-15964.09</v>
      </c>
    </row>
    <row r="21" spans="1:6" x14ac:dyDescent="0.25">
      <c r="A21" s="77"/>
      <c r="B21" s="77"/>
      <c r="C21" s="77"/>
      <c r="D21" s="77" t="s">
        <v>7821</v>
      </c>
      <c r="E21" s="77"/>
      <c r="F21" s="83">
        <v>-7048</v>
      </c>
    </row>
    <row r="22" spans="1:6" x14ac:dyDescent="0.25">
      <c r="A22" s="77"/>
      <c r="B22" s="77"/>
      <c r="C22" s="77"/>
      <c r="D22" s="77" t="s">
        <v>7724</v>
      </c>
      <c r="E22" s="77"/>
      <c r="F22" s="83">
        <v>-38857.94</v>
      </c>
    </row>
    <row r="23" spans="1:6" x14ac:dyDescent="0.25">
      <c r="A23" s="77"/>
      <c r="B23" s="77"/>
      <c r="C23" s="77"/>
      <c r="D23" s="77" t="s">
        <v>7855</v>
      </c>
      <c r="E23" s="77"/>
      <c r="F23" s="83">
        <v>10275</v>
      </c>
    </row>
    <row r="24" spans="1:6" x14ac:dyDescent="0.25">
      <c r="A24" s="77"/>
      <c r="B24" s="77"/>
      <c r="C24" s="77"/>
      <c r="D24" s="77" t="s">
        <v>7831</v>
      </c>
      <c r="E24" s="77"/>
      <c r="F24" s="83">
        <v>-6319.8</v>
      </c>
    </row>
    <row r="25" spans="1:6" ht="15.75" thickBot="1" x14ac:dyDescent="0.3">
      <c r="A25" s="77"/>
      <c r="B25" s="77"/>
      <c r="C25" s="77"/>
      <c r="D25" s="77" t="s">
        <v>7822</v>
      </c>
      <c r="E25" s="77"/>
      <c r="F25" s="83">
        <v>-28548</v>
      </c>
    </row>
    <row r="26" spans="1:6" ht="15.75" thickBot="1" x14ac:dyDescent="0.3">
      <c r="A26" s="77"/>
      <c r="B26" s="77"/>
      <c r="C26" s="77" t="s">
        <v>7723</v>
      </c>
      <c r="D26" s="77"/>
      <c r="E26" s="77"/>
      <c r="F26" s="1">
        <f>ROUND(SUM(F19:F25),5)</f>
        <v>-86462.83</v>
      </c>
    </row>
    <row r="27" spans="1:6" x14ac:dyDescent="0.25">
      <c r="A27" s="77"/>
      <c r="B27" s="77" t="s">
        <v>7722</v>
      </c>
      <c r="C27" s="77"/>
      <c r="D27" s="77"/>
      <c r="E27" s="77"/>
      <c r="F27" s="83">
        <f>ROUND(F18+F26,5)</f>
        <v>232388.54</v>
      </c>
    </row>
    <row r="28" spans="1:6" ht="15.75" thickBot="1" x14ac:dyDescent="0.3">
      <c r="A28" s="77"/>
      <c r="B28" s="77" t="s">
        <v>7721</v>
      </c>
      <c r="C28" s="77"/>
      <c r="D28" s="77"/>
      <c r="E28" s="77"/>
      <c r="F28" s="83">
        <v>1456601.47</v>
      </c>
    </row>
    <row r="29" spans="1:6" ht="15.75" thickBot="1" x14ac:dyDescent="0.3">
      <c r="A29" s="77" t="s">
        <v>7720</v>
      </c>
      <c r="B29" s="77"/>
      <c r="C29" s="77"/>
      <c r="D29" s="77"/>
      <c r="E29" s="77"/>
      <c r="F29" s="85">
        <f>ROUND(SUM(F27:F28),5)</f>
        <v>1688990.01</v>
      </c>
    </row>
    <row r="30" spans="1:6" ht="15.75" thickTop="1" x14ac:dyDescent="0.25"/>
  </sheetData>
  <hyperlinks>
    <hyperlink ref="G1" location="Contents!A1" display="Contents" xr:uid="{F6320256-8D22-4972-9DF0-6060BDF09929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6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6" r:id="rId4" name="TextBox8"/>
      </mc:Fallback>
    </mc:AlternateContent>
    <mc:AlternateContent xmlns:mc="http://schemas.openxmlformats.org/markup-compatibility/2006">
      <mc:Choice Requires="x14">
        <control shapeId="58375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5" r:id="rId6" name="TextBox7"/>
      </mc:Fallback>
    </mc:AlternateContent>
    <mc:AlternateContent xmlns:mc="http://schemas.openxmlformats.org/markup-compatibility/2006">
      <mc:Choice Requires="x14">
        <control shapeId="58372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8" name="TextBox4"/>
      </mc:Fallback>
    </mc:AlternateContent>
    <mc:AlternateContent xmlns:mc="http://schemas.openxmlformats.org/markup-compatibility/2006">
      <mc:Choice Requires="x14">
        <control shapeId="58371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10" name="TextBox3"/>
      </mc:Fallback>
    </mc:AlternateContent>
    <mc:AlternateContent xmlns:mc="http://schemas.openxmlformats.org/markup-compatibility/2006">
      <mc:Choice Requires="x14">
        <control shapeId="58370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12" name="TextBox2"/>
      </mc:Fallback>
    </mc:AlternateContent>
    <mc:AlternateContent xmlns:mc="http://schemas.openxmlformats.org/markup-compatibility/2006">
      <mc:Choice Requires="x14">
        <control shapeId="58369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14" name="TextBox1"/>
      </mc:Fallback>
    </mc:AlternateContent>
    <mc:AlternateContent xmlns:mc="http://schemas.openxmlformats.org/markup-compatibility/2006">
      <mc:Choice Requires="x14">
        <control shapeId="58373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3" r:id="rId16" name="TextBox5"/>
      </mc:Fallback>
    </mc:AlternateContent>
    <mc:AlternateContent xmlns:mc="http://schemas.openxmlformats.org/markup-compatibility/2006">
      <mc:Choice Requires="x14">
        <control shapeId="58374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4" r:id="rId18" name="TextBox6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>
    <pageSetUpPr fitToPage="1"/>
  </sheetPr>
  <dimension ref="A1:I27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7569</v>
      </c>
      <c r="C2" s="51">
        <v>0</v>
      </c>
      <c r="D2" s="51">
        <v>5340</v>
      </c>
      <c r="E2" s="51">
        <v>0</v>
      </c>
      <c r="F2" s="51">
        <v>0</v>
      </c>
      <c r="G2" s="51">
        <v>0</v>
      </c>
      <c r="H2" s="51">
        <f>ROUND(SUM(C2:G2),5)</f>
        <v>5340</v>
      </c>
    </row>
    <row r="3" spans="1:9" x14ac:dyDescent="0.25">
      <c r="A3" s="77"/>
      <c r="B3" s="77" t="s">
        <v>7858</v>
      </c>
      <c r="C3" s="51">
        <v>0</v>
      </c>
      <c r="D3" s="51">
        <v>1010</v>
      </c>
      <c r="E3" s="51">
        <v>0</v>
      </c>
      <c r="F3" s="51">
        <v>0</v>
      </c>
      <c r="G3" s="51">
        <v>0</v>
      </c>
      <c r="H3" s="51">
        <f>ROUND(SUM(C3:G3),5)</f>
        <v>1010</v>
      </c>
    </row>
    <row r="4" spans="1:9" x14ac:dyDescent="0.25">
      <c r="A4" s="77"/>
      <c r="B4" s="77" t="s">
        <v>7836</v>
      </c>
      <c r="C4" s="51">
        <v>0</v>
      </c>
      <c r="D4" s="51">
        <v>7863.1</v>
      </c>
      <c r="E4" s="51">
        <v>0</v>
      </c>
      <c r="F4" s="51">
        <v>0</v>
      </c>
      <c r="G4" s="51">
        <v>0</v>
      </c>
      <c r="H4" s="51">
        <f>ROUND(SUM(C4:G4),5)</f>
        <v>7863.1</v>
      </c>
    </row>
    <row r="5" spans="1:9" x14ac:dyDescent="0.25">
      <c r="A5" s="77"/>
      <c r="B5" s="77" t="s">
        <v>268</v>
      </c>
      <c r="C5" s="51">
        <v>83.75</v>
      </c>
      <c r="D5" s="51">
        <v>0</v>
      </c>
      <c r="E5" s="51">
        <v>0</v>
      </c>
      <c r="F5" s="51">
        <v>0</v>
      </c>
      <c r="G5" s="51">
        <v>0</v>
      </c>
      <c r="H5" s="51">
        <f>ROUND(SUM(C5:G5),5)</f>
        <v>83.75</v>
      </c>
    </row>
    <row r="6" spans="1:9" x14ac:dyDescent="0.25">
      <c r="A6" s="77"/>
      <c r="B6" s="77" t="s">
        <v>7835</v>
      </c>
      <c r="C6" s="51">
        <v>0</v>
      </c>
      <c r="D6" s="51">
        <v>69.959999999999994</v>
      </c>
      <c r="E6" s="51">
        <v>0</v>
      </c>
      <c r="F6" s="51">
        <v>0</v>
      </c>
      <c r="G6" s="51">
        <v>0</v>
      </c>
      <c r="H6" s="51">
        <f>ROUND(SUM(C6:G6),5)</f>
        <v>69.959999999999994</v>
      </c>
    </row>
    <row r="7" spans="1:9" x14ac:dyDescent="0.25">
      <c r="A7" s="77"/>
      <c r="B7" s="77" t="s">
        <v>7873</v>
      </c>
      <c r="C7" s="51">
        <v>65.150000000000006</v>
      </c>
      <c r="D7" s="51">
        <v>0</v>
      </c>
      <c r="E7" s="51">
        <v>0</v>
      </c>
      <c r="F7" s="51">
        <v>0</v>
      </c>
      <c r="G7" s="51">
        <v>0</v>
      </c>
      <c r="H7" s="51">
        <f>ROUND(SUM(C7:G7),5)</f>
        <v>65.150000000000006</v>
      </c>
    </row>
    <row r="8" spans="1:9" x14ac:dyDescent="0.25">
      <c r="A8" s="77"/>
      <c r="B8" s="77" t="s">
        <v>5332</v>
      </c>
      <c r="C8" s="51">
        <v>0</v>
      </c>
      <c r="D8" s="51">
        <v>202.31</v>
      </c>
      <c r="E8" s="51">
        <v>0</v>
      </c>
      <c r="F8" s="51">
        <v>0</v>
      </c>
      <c r="G8" s="51">
        <v>0</v>
      </c>
      <c r="H8" s="51">
        <f>ROUND(SUM(C8:G8),5)</f>
        <v>202.31</v>
      </c>
    </row>
    <row r="9" spans="1:9" x14ac:dyDescent="0.25">
      <c r="A9" s="77"/>
      <c r="B9" s="77" t="s">
        <v>7857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>ROUND(SUM(C9:G9),5)</f>
        <v>7500</v>
      </c>
    </row>
    <row r="10" spans="1:9" x14ac:dyDescent="0.25">
      <c r="A10" s="77"/>
      <c r="B10" s="77" t="s">
        <v>7694</v>
      </c>
      <c r="C10" s="51">
        <v>1880.9</v>
      </c>
      <c r="D10" s="51">
        <v>0</v>
      </c>
      <c r="E10" s="51">
        <v>0</v>
      </c>
      <c r="F10" s="51">
        <v>0</v>
      </c>
      <c r="G10" s="51">
        <v>0</v>
      </c>
      <c r="H10" s="51">
        <f>ROUND(SUM(C10:G10),5)</f>
        <v>1880.9</v>
      </c>
    </row>
    <row r="11" spans="1:9" x14ac:dyDescent="0.25">
      <c r="A11" s="77"/>
      <c r="B11" s="77" t="s">
        <v>263</v>
      </c>
      <c r="C11" s="51">
        <v>0</v>
      </c>
      <c r="D11" s="51">
        <v>0</v>
      </c>
      <c r="E11" s="51">
        <v>0</v>
      </c>
      <c r="F11" s="51">
        <v>0</v>
      </c>
      <c r="G11" s="51">
        <v>-511.84</v>
      </c>
      <c r="H11" s="51">
        <f>ROUND(SUM(C11:G11),5)</f>
        <v>-511.84</v>
      </c>
    </row>
    <row r="12" spans="1:9" x14ac:dyDescent="0.25">
      <c r="A12" s="77"/>
      <c r="B12" s="77" t="s">
        <v>7739</v>
      </c>
      <c r="C12" s="51">
        <v>0</v>
      </c>
      <c r="D12" s="51">
        <v>0</v>
      </c>
      <c r="E12" s="51">
        <v>0</v>
      </c>
      <c r="F12" s="51">
        <v>0</v>
      </c>
      <c r="G12" s="51">
        <v>-172.65</v>
      </c>
      <c r="H12" s="51">
        <f>ROUND(SUM(C12:G12),5)</f>
        <v>-172.65</v>
      </c>
    </row>
    <row r="13" spans="1:9" ht="15.75" thickBot="1" x14ac:dyDescent="0.3">
      <c r="A13" s="77"/>
      <c r="B13" s="77" t="s">
        <v>261</v>
      </c>
      <c r="C13" s="51">
        <v>9407.15</v>
      </c>
      <c r="D13" s="51">
        <v>0</v>
      </c>
      <c r="E13" s="51">
        <v>0</v>
      </c>
      <c r="F13" s="51">
        <v>0</v>
      </c>
      <c r="G13" s="51">
        <v>0</v>
      </c>
      <c r="H13" s="51">
        <f>ROUND(SUM(C13:G13),5)</f>
        <v>9407.15</v>
      </c>
    </row>
    <row r="14" spans="1:9" ht="15.75" thickBot="1" x14ac:dyDescent="0.3">
      <c r="A14" s="77" t="s">
        <v>2</v>
      </c>
      <c r="B14" s="77"/>
      <c r="C14" s="55">
        <f>ROUND(SUM(C2:C13),5)</f>
        <v>18936.95</v>
      </c>
      <c r="D14" s="55">
        <f>ROUND(SUM(D2:D13),5)</f>
        <v>14485.37</v>
      </c>
      <c r="E14" s="55">
        <f>ROUND(SUM(E2:E13),5)</f>
        <v>0</v>
      </c>
      <c r="F14" s="55">
        <f>ROUND(SUM(F2:F13),5)</f>
        <v>0</v>
      </c>
      <c r="G14" s="55">
        <f>ROUND(SUM(G2:G13),5)</f>
        <v>-684.49</v>
      </c>
      <c r="H14" s="55">
        <f>ROUND(SUM(C14:G14),5)</f>
        <v>32737.83</v>
      </c>
    </row>
    <row r="15" spans="1:9" ht="15.75" thickTop="1" x14ac:dyDescent="0.25"/>
    <row r="27" spans="3:8" s="2" customFormat="1" x14ac:dyDescent="0.25">
      <c r="C27" s="75"/>
      <c r="D27" s="75"/>
      <c r="E27" s="75"/>
      <c r="F27" s="75"/>
      <c r="G27" s="75"/>
      <c r="H27" s="75"/>
    </row>
  </sheetData>
  <hyperlinks>
    <hyperlink ref="I1" location="Contents!A1" display="Contents" xr:uid="{25218D01-4CC2-4857-ACDB-E83DB01494F8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40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0" r:id="rId4" name="TextBox8"/>
      </mc:Fallback>
    </mc:AlternateContent>
    <mc:AlternateContent xmlns:mc="http://schemas.openxmlformats.org/markup-compatibility/2006">
      <mc:Choice Requires="x14">
        <control shapeId="5939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9" r:id="rId6" name="TextBox7"/>
      </mc:Fallback>
    </mc:AlternateContent>
    <mc:AlternateContent xmlns:mc="http://schemas.openxmlformats.org/markup-compatibility/2006">
      <mc:Choice Requires="x14">
        <control shapeId="5939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8" name="TextBox4"/>
      </mc:Fallback>
    </mc:AlternateContent>
    <mc:AlternateContent xmlns:mc="http://schemas.openxmlformats.org/markup-compatibility/2006">
      <mc:Choice Requires="x14">
        <control shapeId="5939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10" name="TextBox3"/>
      </mc:Fallback>
    </mc:AlternateContent>
    <mc:AlternateContent xmlns:mc="http://schemas.openxmlformats.org/markup-compatibility/2006">
      <mc:Choice Requires="x14">
        <control shapeId="5939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12" name="TextBox2"/>
      </mc:Fallback>
    </mc:AlternateContent>
    <mc:AlternateContent xmlns:mc="http://schemas.openxmlformats.org/markup-compatibility/2006">
      <mc:Choice Requires="x14">
        <control shapeId="5939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14" name="TextBox1"/>
      </mc:Fallback>
    </mc:AlternateContent>
    <mc:AlternateContent xmlns:mc="http://schemas.openxmlformats.org/markup-compatibility/2006">
      <mc:Choice Requires="x14">
        <control shapeId="5939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7" r:id="rId16" name="TextBox5"/>
      </mc:Fallback>
    </mc:AlternateContent>
    <mc:AlternateContent xmlns:mc="http://schemas.openxmlformats.org/markup-compatibility/2006">
      <mc:Choice Requires="x14">
        <control shapeId="5939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8" r:id="rId18" name="TextBox6"/>
      </mc:Fallback>
    </mc:AlternateContent>
    <mc:AlternateContent xmlns:mc="http://schemas.openxmlformats.org/markup-compatibility/2006">
      <mc:Choice Requires="x14">
        <control shapeId="59401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1" r:id="rId20" name="TextBox9"/>
      </mc:Fallback>
    </mc:AlternateContent>
    <mc:AlternateContent xmlns:mc="http://schemas.openxmlformats.org/markup-compatibility/2006">
      <mc:Choice Requires="x14">
        <control shapeId="59402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2" r:id="rId22" name="TextBox10"/>
      </mc:Fallback>
    </mc:AlternateContent>
    <mc:AlternateContent xmlns:mc="http://schemas.openxmlformats.org/markup-compatibility/2006">
      <mc:Choice Requires="x14">
        <control shapeId="59403" r:id="rId24" name="TextBox11">
          <controlPr defaultSize="0" autoLine="0" r:id="rId2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3" r:id="rId24" name="TextBox11"/>
      </mc:Fallback>
    </mc:AlternateContent>
    <mc:AlternateContent xmlns:mc="http://schemas.openxmlformats.org/markup-compatibility/2006">
      <mc:Choice Requires="x14">
        <control shapeId="59404" r:id="rId26" name="TextBox12">
          <controlPr defaultSize="0" autoLine="0" r:id="rId2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4" r:id="rId26" name="TextBox1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>
    <pageSetUpPr fitToPage="1"/>
  </sheetPr>
  <dimension ref="A1:I47"/>
  <sheetViews>
    <sheetView zoomScale="148" zoomScaleNormal="148" workbookViewId="0">
      <pane xSplit="2" ySplit="1" topLeftCell="C13" activePane="bottomRight" state="frozen"/>
      <selection pane="topRight" activeCell="C1" sqref="C1"/>
      <selection pane="bottomLeft" activeCell="A2" sqref="A2"/>
      <selection pane="bottomRight" activeCell="C2" sqref="C2:H32"/>
    </sheetView>
  </sheetViews>
  <sheetFormatPr defaultRowHeight="15" x14ac:dyDescent="0.25"/>
  <cols>
    <col min="1" max="1" width="3" style="2" customWidth="1"/>
    <col min="2" max="2" width="36.140625" style="2" customWidth="1"/>
    <col min="3" max="3" width="8.7109375" style="75" bestFit="1" customWidth="1"/>
    <col min="4" max="4" width="7.85546875" style="75" bestFit="1" customWidth="1"/>
    <col min="5" max="5" width="5.85546875" style="75" bestFit="1" customWidth="1"/>
    <col min="6" max="6" width="7.85546875" style="75" bestFit="1" customWidth="1"/>
    <col min="7" max="7" width="8.4257812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0</v>
      </c>
      <c r="G2" s="51">
        <v>2000</v>
      </c>
      <c r="H2" s="51">
        <f>ROUND(SUM(C2:G2),5)</f>
        <v>2000</v>
      </c>
    </row>
    <row r="3" spans="1:9" x14ac:dyDescent="0.25">
      <c r="A3" s="77"/>
      <c r="B3" s="77" t="s">
        <v>253</v>
      </c>
      <c r="C3" s="51">
        <v>0</v>
      </c>
      <c r="D3" s="51">
        <v>0</v>
      </c>
      <c r="E3" s="51">
        <v>0</v>
      </c>
      <c r="F3" s="51">
        <v>0</v>
      </c>
      <c r="G3" s="51">
        <v>-132.5</v>
      </c>
      <c r="H3" s="51">
        <f>ROUND(SUM(C3:G3),5)</f>
        <v>-132.5</v>
      </c>
    </row>
    <row r="4" spans="1:9" x14ac:dyDescent="0.25">
      <c r="A4" s="77"/>
      <c r="B4" s="77" t="s">
        <v>252</v>
      </c>
      <c r="C4" s="51">
        <v>0</v>
      </c>
      <c r="D4" s="51">
        <v>0</v>
      </c>
      <c r="E4" s="51">
        <v>0</v>
      </c>
      <c r="F4" s="51">
        <v>0</v>
      </c>
      <c r="G4" s="51">
        <v>-54012.77</v>
      </c>
      <c r="H4" s="51">
        <f>ROUND(SUM(C4:G4),5)</f>
        <v>-54012.77</v>
      </c>
    </row>
    <row r="5" spans="1:9" x14ac:dyDescent="0.25">
      <c r="A5" s="77"/>
      <c r="B5" s="77" t="s">
        <v>7876</v>
      </c>
      <c r="C5" s="51">
        <v>2000</v>
      </c>
      <c r="D5" s="51">
        <v>0</v>
      </c>
      <c r="E5" s="51">
        <v>0</v>
      </c>
      <c r="F5" s="51">
        <v>0</v>
      </c>
      <c r="G5" s="51">
        <v>0</v>
      </c>
      <c r="H5" s="51">
        <f>ROUND(SUM(C5:G5),5)</f>
        <v>2000</v>
      </c>
    </row>
    <row r="6" spans="1:9" x14ac:dyDescent="0.25">
      <c r="A6" s="77"/>
      <c r="B6" s="77" t="s">
        <v>5132</v>
      </c>
      <c r="C6" s="51">
        <v>0</v>
      </c>
      <c r="D6" s="51">
        <v>29750</v>
      </c>
      <c r="E6" s="51">
        <v>0</v>
      </c>
      <c r="F6" s="51">
        <v>0</v>
      </c>
      <c r="G6" s="51">
        <v>0</v>
      </c>
      <c r="H6" s="51">
        <f>ROUND(SUM(C6:G6),5)</f>
        <v>29750</v>
      </c>
    </row>
    <row r="7" spans="1:9" x14ac:dyDescent="0.25">
      <c r="A7" s="77"/>
      <c r="B7" s="77" t="s">
        <v>7736</v>
      </c>
      <c r="C7" s="51">
        <v>0</v>
      </c>
      <c r="D7" s="51">
        <v>0</v>
      </c>
      <c r="E7" s="51">
        <v>0</v>
      </c>
      <c r="F7" s="51">
        <v>0</v>
      </c>
      <c r="G7" s="51">
        <v>650.32000000000005</v>
      </c>
      <c r="H7" s="51">
        <f>ROUND(SUM(C7:G7),5)</f>
        <v>650.32000000000005</v>
      </c>
    </row>
    <row r="8" spans="1:9" x14ac:dyDescent="0.25">
      <c r="A8" s="77"/>
      <c r="B8" s="77" t="s">
        <v>251</v>
      </c>
      <c r="C8" s="51">
        <v>5194.8</v>
      </c>
      <c r="D8" s="51">
        <v>0</v>
      </c>
      <c r="E8" s="51">
        <v>0</v>
      </c>
      <c r="F8" s="51">
        <v>0</v>
      </c>
      <c r="G8" s="51">
        <v>0</v>
      </c>
      <c r="H8" s="51">
        <f>ROUND(SUM(C8:G8),5)</f>
        <v>5194.8</v>
      </c>
    </row>
    <row r="9" spans="1:9" x14ac:dyDescent="0.25">
      <c r="A9" s="77"/>
      <c r="B9" s="77" t="s">
        <v>7735</v>
      </c>
      <c r="C9" s="51">
        <v>38250</v>
      </c>
      <c r="D9" s="51">
        <v>17999</v>
      </c>
      <c r="E9" s="51">
        <v>0</v>
      </c>
      <c r="F9" s="51">
        <v>0</v>
      </c>
      <c r="G9" s="51">
        <v>0</v>
      </c>
      <c r="H9" s="51">
        <f>ROUND(SUM(C9:G9),5)</f>
        <v>56249</v>
      </c>
    </row>
    <row r="10" spans="1:9" x14ac:dyDescent="0.25">
      <c r="A10" s="77"/>
      <c r="B10" s="77" t="s">
        <v>7875</v>
      </c>
      <c r="C10" s="51">
        <v>2000</v>
      </c>
      <c r="D10" s="51">
        <v>0</v>
      </c>
      <c r="E10" s="51">
        <v>0</v>
      </c>
      <c r="F10" s="51">
        <v>0</v>
      </c>
      <c r="G10" s="51">
        <v>0</v>
      </c>
      <c r="H10" s="51">
        <f>ROUND(SUM(C10:G10),5)</f>
        <v>2000</v>
      </c>
    </row>
    <row r="11" spans="1:9" x14ac:dyDescent="0.25">
      <c r="A11" s="77"/>
      <c r="B11" s="77" t="s">
        <v>7563</v>
      </c>
      <c r="C11" s="51">
        <v>500</v>
      </c>
      <c r="D11" s="51">
        <v>0</v>
      </c>
      <c r="E11" s="51">
        <v>0</v>
      </c>
      <c r="F11" s="51">
        <v>0</v>
      </c>
      <c r="G11" s="51">
        <v>0</v>
      </c>
      <c r="H11" s="51">
        <f>ROUND(SUM(C11:G11),5)</f>
        <v>500</v>
      </c>
    </row>
    <row r="12" spans="1:9" x14ac:dyDescent="0.25">
      <c r="A12" s="77"/>
      <c r="B12" s="77" t="s">
        <v>7838</v>
      </c>
      <c r="C12" s="51">
        <v>68150</v>
      </c>
      <c r="D12" s="51">
        <v>0</v>
      </c>
      <c r="E12" s="51">
        <v>0</v>
      </c>
      <c r="F12" s="51">
        <v>0</v>
      </c>
      <c r="G12" s="51">
        <v>0</v>
      </c>
      <c r="H12" s="51">
        <f>ROUND(SUM(C12:G12),5)</f>
        <v>68150</v>
      </c>
    </row>
    <row r="13" spans="1:9" x14ac:dyDescent="0.25">
      <c r="A13" s="77"/>
      <c r="B13" s="77" t="s">
        <v>6054</v>
      </c>
      <c r="C13" s="51">
        <v>10000</v>
      </c>
      <c r="D13" s="51">
        <v>0</v>
      </c>
      <c r="E13" s="51">
        <v>0</v>
      </c>
      <c r="F13" s="51">
        <v>0</v>
      </c>
      <c r="G13" s="51">
        <v>0</v>
      </c>
      <c r="H13" s="51">
        <f>ROUND(SUM(C13:G13),5)</f>
        <v>10000</v>
      </c>
    </row>
    <row r="14" spans="1:9" x14ac:dyDescent="0.25">
      <c r="A14" s="77"/>
      <c r="B14" s="77" t="s">
        <v>7832</v>
      </c>
      <c r="C14" s="51">
        <v>11250</v>
      </c>
      <c r="D14" s="51">
        <v>0</v>
      </c>
      <c r="E14" s="51">
        <v>0</v>
      </c>
      <c r="F14" s="51">
        <v>0</v>
      </c>
      <c r="G14" s="51">
        <v>0</v>
      </c>
      <c r="H14" s="51">
        <f>ROUND(SUM(C14:G14),5)</f>
        <v>11250</v>
      </c>
    </row>
    <row r="15" spans="1:9" x14ac:dyDescent="0.25">
      <c r="A15" s="77"/>
      <c r="B15" s="77" t="s">
        <v>7816</v>
      </c>
      <c r="C15" s="51">
        <v>0</v>
      </c>
      <c r="D15" s="51">
        <v>0</v>
      </c>
      <c r="E15" s="51">
        <v>0</v>
      </c>
      <c r="F15" s="51">
        <v>0</v>
      </c>
      <c r="G15" s="51">
        <v>15000</v>
      </c>
      <c r="H15" s="51">
        <f>ROUND(SUM(C15:G15),5)</f>
        <v>15000</v>
      </c>
    </row>
    <row r="16" spans="1:9" x14ac:dyDescent="0.25">
      <c r="A16" s="77"/>
      <c r="B16" s="77" t="s">
        <v>7734</v>
      </c>
      <c r="C16" s="51">
        <v>0</v>
      </c>
      <c r="D16" s="51">
        <v>0</v>
      </c>
      <c r="E16" s="51">
        <v>0</v>
      </c>
      <c r="F16" s="51">
        <v>0</v>
      </c>
      <c r="G16" s="51">
        <v>5000</v>
      </c>
      <c r="H16" s="51">
        <f>ROUND(SUM(C16:G16),5)</f>
        <v>5000</v>
      </c>
    </row>
    <row r="17" spans="1:8" x14ac:dyDescent="0.25">
      <c r="A17" s="77"/>
      <c r="B17" s="77" t="s">
        <v>7874</v>
      </c>
      <c r="C17" s="51">
        <v>20250</v>
      </c>
      <c r="D17" s="51">
        <v>0</v>
      </c>
      <c r="E17" s="51">
        <v>0</v>
      </c>
      <c r="F17" s="51">
        <v>0</v>
      </c>
      <c r="G17" s="51">
        <v>0</v>
      </c>
      <c r="H17" s="51">
        <f>ROUND(SUM(C17:G17),5)</f>
        <v>20250</v>
      </c>
    </row>
    <row r="18" spans="1:8" x14ac:dyDescent="0.25">
      <c r="A18" s="77"/>
      <c r="B18" s="77" t="s">
        <v>7800</v>
      </c>
      <c r="C18" s="51">
        <v>0</v>
      </c>
      <c r="D18" s="51">
        <v>0</v>
      </c>
      <c r="E18" s="51">
        <v>0</v>
      </c>
      <c r="F18" s="51">
        <v>0</v>
      </c>
      <c r="G18" s="51">
        <v>2000</v>
      </c>
      <c r="H18" s="51">
        <f>ROUND(SUM(C18:G18),5)</f>
        <v>2000</v>
      </c>
    </row>
    <row r="19" spans="1:8" x14ac:dyDescent="0.25">
      <c r="A19" s="77"/>
      <c r="B19" s="77" t="s">
        <v>244</v>
      </c>
      <c r="C19" s="51">
        <v>0</v>
      </c>
      <c r="D19" s="51">
        <v>0</v>
      </c>
      <c r="E19" s="51">
        <v>0</v>
      </c>
      <c r="F19" s="51">
        <v>0</v>
      </c>
      <c r="G19" s="51">
        <v>245</v>
      </c>
      <c r="H19" s="51">
        <f>ROUND(SUM(C19:G19),5)</f>
        <v>245</v>
      </c>
    </row>
    <row r="20" spans="1:8" x14ac:dyDescent="0.25">
      <c r="A20" s="77"/>
      <c r="B20" s="77" t="s">
        <v>3284</v>
      </c>
      <c r="C20" s="51">
        <v>0</v>
      </c>
      <c r="D20" s="51">
        <v>0</v>
      </c>
      <c r="E20" s="51">
        <v>0</v>
      </c>
      <c r="F20" s="51">
        <v>0</v>
      </c>
      <c r="G20" s="51">
        <v>600</v>
      </c>
      <c r="H20" s="51">
        <f>ROUND(SUM(C20:G20),5)</f>
        <v>600</v>
      </c>
    </row>
    <row r="21" spans="1:8" x14ac:dyDescent="0.25">
      <c r="A21" s="77"/>
      <c r="B21" s="77" t="s">
        <v>7837</v>
      </c>
      <c r="C21" s="51">
        <v>0</v>
      </c>
      <c r="D21" s="51">
        <v>5000</v>
      </c>
      <c r="E21" s="51">
        <v>0</v>
      </c>
      <c r="F21" s="51">
        <v>0</v>
      </c>
      <c r="G21" s="51">
        <v>0</v>
      </c>
      <c r="H21" s="51">
        <f>ROUND(SUM(C21:G21),5)</f>
        <v>5000</v>
      </c>
    </row>
    <row r="22" spans="1:8" x14ac:dyDescent="0.25">
      <c r="A22" s="77"/>
      <c r="B22" s="77" t="s">
        <v>240</v>
      </c>
      <c r="C22" s="51">
        <v>0</v>
      </c>
      <c r="D22" s="51">
        <v>0</v>
      </c>
      <c r="E22" s="51">
        <v>0</v>
      </c>
      <c r="F22" s="51">
        <v>0</v>
      </c>
      <c r="G22" s="51">
        <v>-400</v>
      </c>
      <c r="H22" s="51">
        <f>ROUND(SUM(C22:G22),5)</f>
        <v>-400</v>
      </c>
    </row>
    <row r="23" spans="1:8" x14ac:dyDescent="0.25">
      <c r="A23" s="77"/>
      <c r="B23" s="77" t="s">
        <v>7559</v>
      </c>
      <c r="C23" s="51">
        <v>0</v>
      </c>
      <c r="D23" s="51">
        <v>0</v>
      </c>
      <c r="E23" s="51">
        <v>0</v>
      </c>
      <c r="F23" s="51">
        <v>0</v>
      </c>
      <c r="G23" s="51">
        <v>250</v>
      </c>
      <c r="H23" s="51">
        <f>ROUND(SUM(C23:G23),5)</f>
        <v>250</v>
      </c>
    </row>
    <row r="24" spans="1:8" x14ac:dyDescent="0.25">
      <c r="A24" s="77"/>
      <c r="B24" s="77" t="s">
        <v>6325</v>
      </c>
      <c r="C24" s="51">
        <v>0</v>
      </c>
      <c r="D24" s="51">
        <v>0</v>
      </c>
      <c r="E24" s="51">
        <v>0</v>
      </c>
      <c r="F24" s="51">
        <v>0</v>
      </c>
      <c r="G24" s="51">
        <v>24999</v>
      </c>
      <c r="H24" s="51">
        <f>ROUND(SUM(C24:G24),5)</f>
        <v>24999</v>
      </c>
    </row>
    <row r="25" spans="1:8" x14ac:dyDescent="0.25">
      <c r="A25" s="77"/>
      <c r="B25" s="77" t="s">
        <v>7824</v>
      </c>
      <c r="C25" s="51">
        <v>0</v>
      </c>
      <c r="D25" s="51">
        <v>0</v>
      </c>
      <c r="E25" s="51">
        <v>0</v>
      </c>
      <c r="F25" s="51">
        <v>15000</v>
      </c>
      <c r="G25" s="51">
        <v>0</v>
      </c>
      <c r="H25" s="51">
        <f>ROUND(SUM(C25:G25),5)</f>
        <v>15000</v>
      </c>
    </row>
    <row r="26" spans="1:8" x14ac:dyDescent="0.25">
      <c r="A26" s="77"/>
      <c r="B26" s="77" t="s">
        <v>7823</v>
      </c>
      <c r="C26" s="51">
        <v>0</v>
      </c>
      <c r="D26" s="51">
        <v>0</v>
      </c>
      <c r="E26" s="51">
        <v>0</v>
      </c>
      <c r="F26" s="51">
        <v>1160</v>
      </c>
      <c r="G26" s="51">
        <v>0</v>
      </c>
      <c r="H26" s="51">
        <f>ROUND(SUM(C26:G26),5)</f>
        <v>1160</v>
      </c>
    </row>
    <row r="27" spans="1:8" x14ac:dyDescent="0.25">
      <c r="A27" s="77"/>
      <c r="B27" s="77" t="s">
        <v>7481</v>
      </c>
      <c r="C27" s="51">
        <v>0</v>
      </c>
      <c r="D27" s="51">
        <v>0</v>
      </c>
      <c r="E27" s="51">
        <v>0</v>
      </c>
      <c r="F27" s="51">
        <v>0</v>
      </c>
      <c r="G27" s="51">
        <v>2000</v>
      </c>
      <c r="H27" s="51">
        <f>ROUND(SUM(C27:G27),5)</f>
        <v>2000</v>
      </c>
    </row>
    <row r="28" spans="1:8" x14ac:dyDescent="0.25">
      <c r="A28" s="77"/>
      <c r="B28" s="77" t="s">
        <v>2804</v>
      </c>
      <c r="C28" s="51">
        <v>20250</v>
      </c>
      <c r="D28" s="51">
        <v>0</v>
      </c>
      <c r="E28" s="51">
        <v>0</v>
      </c>
      <c r="F28" s="51">
        <v>0</v>
      </c>
      <c r="G28" s="51">
        <v>0</v>
      </c>
      <c r="H28" s="51">
        <f>ROUND(SUM(C28:G28),5)</f>
        <v>20250</v>
      </c>
    </row>
    <row r="29" spans="1:8" x14ac:dyDescent="0.25">
      <c r="A29" s="77"/>
      <c r="B29" s="77" t="s">
        <v>7801</v>
      </c>
      <c r="C29" s="51">
        <v>0</v>
      </c>
      <c r="D29" s="51">
        <v>0</v>
      </c>
      <c r="E29" s="51">
        <v>0</v>
      </c>
      <c r="F29" s="51">
        <v>0</v>
      </c>
      <c r="G29" s="51">
        <v>800</v>
      </c>
      <c r="H29" s="51">
        <f>ROUND(SUM(C29:G29),5)</f>
        <v>800</v>
      </c>
    </row>
    <row r="30" spans="1:8" x14ac:dyDescent="0.25">
      <c r="A30" s="77"/>
      <c r="B30" s="77" t="s">
        <v>7733</v>
      </c>
      <c r="C30" s="51">
        <v>0</v>
      </c>
      <c r="D30" s="51">
        <v>0</v>
      </c>
      <c r="E30" s="51">
        <v>0</v>
      </c>
      <c r="F30" s="51">
        <v>0</v>
      </c>
      <c r="G30" s="51">
        <v>5000</v>
      </c>
      <c r="H30" s="51">
        <f>ROUND(SUM(C30:G30),5)</f>
        <v>5000</v>
      </c>
    </row>
    <row r="31" spans="1:8" ht="15.75" thickBot="1" x14ac:dyDescent="0.3">
      <c r="A31" s="77"/>
      <c r="B31" s="77" t="s">
        <v>7551</v>
      </c>
      <c r="C31" s="51">
        <v>0</v>
      </c>
      <c r="D31" s="51">
        <v>0</v>
      </c>
      <c r="E31" s="51">
        <v>0</v>
      </c>
      <c r="F31" s="51">
        <v>0</v>
      </c>
      <c r="G31" s="51">
        <v>5000</v>
      </c>
      <c r="H31" s="51">
        <f>ROUND(SUM(C31:G31),5)</f>
        <v>5000</v>
      </c>
    </row>
    <row r="32" spans="1:8" ht="15.75" thickBot="1" x14ac:dyDescent="0.3">
      <c r="A32" s="77" t="s">
        <v>2</v>
      </c>
      <c r="B32" s="77"/>
      <c r="C32" s="55">
        <f>ROUND(SUM(C2:C31),5)</f>
        <v>177844.8</v>
      </c>
      <c r="D32" s="55">
        <f>ROUND(SUM(D2:D31),5)</f>
        <v>52749</v>
      </c>
      <c r="E32" s="55">
        <f>ROUND(SUM(E2:E31),5)</f>
        <v>0</v>
      </c>
      <c r="F32" s="55">
        <f>ROUND(SUM(F2:F31),5)</f>
        <v>16160</v>
      </c>
      <c r="G32" s="55">
        <f>ROUND(SUM(G2:G31),5)</f>
        <v>8999.0499999999993</v>
      </c>
      <c r="H32" s="55">
        <f>ROUND(SUM(C32:G32),5)</f>
        <v>255752.85</v>
      </c>
    </row>
    <row r="33" spans="3:8" ht="15.75" thickTop="1" x14ac:dyDescent="0.25"/>
    <row r="47" spans="3:8" s="2" customFormat="1" x14ac:dyDescent="0.25">
      <c r="C47" s="75"/>
      <c r="D47" s="75"/>
      <c r="E47" s="75"/>
      <c r="F47" s="75"/>
      <c r="G47" s="75"/>
      <c r="H47" s="75"/>
    </row>
  </sheetData>
  <hyperlinks>
    <hyperlink ref="I1" location="Contents!A1" display="Contents" xr:uid="{49D4A981-F3A3-43A1-BD38-8B87A913C252}"/>
  </hyperlinks>
  <pageMargins left="0.7" right="0.7" top="0.75" bottom="0.75" header="0.3" footer="0.3"/>
  <pageSetup orientation="landscape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22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2" r:id="rId4" name="TextBox6"/>
      </mc:Fallback>
    </mc:AlternateContent>
    <mc:AlternateContent xmlns:mc="http://schemas.openxmlformats.org/markup-compatibility/2006">
      <mc:Choice Requires="x14">
        <control shapeId="60421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1" r:id="rId6" name="TextBox5"/>
      </mc:Fallback>
    </mc:AlternateContent>
    <mc:AlternateContent xmlns:mc="http://schemas.openxmlformats.org/markup-compatibility/2006">
      <mc:Choice Requires="x14">
        <control shapeId="60420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8" name="TextBox4"/>
      </mc:Fallback>
    </mc:AlternateContent>
    <mc:AlternateContent xmlns:mc="http://schemas.openxmlformats.org/markup-compatibility/2006">
      <mc:Choice Requires="x14">
        <control shapeId="60419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10" name="TextBox3"/>
      </mc:Fallback>
    </mc:AlternateContent>
    <mc:AlternateContent xmlns:mc="http://schemas.openxmlformats.org/markup-compatibility/2006">
      <mc:Choice Requires="x14">
        <control shapeId="60418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12" name="TextBox2"/>
      </mc:Fallback>
    </mc:AlternateContent>
    <mc:AlternateContent xmlns:mc="http://schemas.openxmlformats.org/markup-compatibility/2006">
      <mc:Choice Requires="x14">
        <control shapeId="60417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14" name="TextBox1"/>
      </mc:Fallback>
    </mc:AlternateContent>
    <mc:AlternateContent xmlns:mc="http://schemas.openxmlformats.org/markup-compatibility/2006">
      <mc:Choice Requires="x14">
        <control shapeId="60423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3" r:id="rId16" name="TextBox7"/>
      </mc:Fallback>
    </mc:AlternateContent>
    <mc:AlternateContent xmlns:mc="http://schemas.openxmlformats.org/markup-compatibility/2006">
      <mc:Choice Requires="x14">
        <control shapeId="60424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4" r:id="rId18" name="TextBox8"/>
      </mc:Fallback>
    </mc:AlternateContent>
    <mc:AlternateContent xmlns:mc="http://schemas.openxmlformats.org/markup-compatibility/2006">
      <mc:Choice Requires="x14">
        <control shapeId="60425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5" r:id="rId20" name="TextBox9"/>
      </mc:Fallback>
    </mc:AlternateContent>
    <mc:AlternateContent xmlns:mc="http://schemas.openxmlformats.org/markup-compatibility/2006">
      <mc:Choice Requires="x14">
        <control shapeId="60426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6" r:id="rId22" name="TextBox10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>
      <selection activeCell="I2" sqref="I2"/>
    </sheetView>
  </sheetViews>
  <sheetFormatPr defaultRowHeight="15.75" x14ac:dyDescent="0.25"/>
  <cols>
    <col min="1" max="5" width="3" style="50" customWidth="1"/>
    <col min="6" max="6" width="35.85546875" style="50" customWidth="1"/>
    <col min="7" max="7" width="2.28515625" style="50" customWidth="1"/>
    <col min="8" max="8" width="12.7109375" style="50" bestFit="1" customWidth="1"/>
    <col min="9" max="9" width="17.140625" style="50" customWidth="1"/>
    <col min="10" max="10" width="86.28515625" style="50" customWidth="1"/>
    <col min="11" max="11" width="42.7109375" style="50" customWidth="1"/>
    <col min="12" max="12" width="11" style="50" bestFit="1" customWidth="1"/>
    <col min="13" max="15" width="12.28515625" style="50" bestFit="1" customWidth="1"/>
    <col min="16" max="16" width="11.7109375" style="50" bestFit="1" customWidth="1"/>
    <col min="17" max="16384" width="9.140625" style="50"/>
  </cols>
  <sheetData>
    <row r="1" spans="1:16" s="160" customFormat="1" ht="16.5" thickBot="1" x14ac:dyDescent="0.3">
      <c r="A1" s="157"/>
      <c r="B1" s="157"/>
      <c r="C1" s="157"/>
      <c r="D1" s="157"/>
      <c r="E1" s="157"/>
      <c r="F1" s="158" t="s">
        <v>7860</v>
      </c>
      <c r="G1" s="157"/>
      <c r="H1" s="159" t="s">
        <v>5921</v>
      </c>
      <c r="I1" s="159" t="s">
        <v>5919</v>
      </c>
      <c r="J1" s="159" t="s">
        <v>5918</v>
      </c>
      <c r="K1" s="159" t="s">
        <v>7588</v>
      </c>
      <c r="L1" s="159" t="s">
        <v>7589</v>
      </c>
      <c r="M1" s="159" t="s">
        <v>1191</v>
      </c>
      <c r="N1" s="159" t="s">
        <v>7590</v>
      </c>
      <c r="O1" s="160" t="s">
        <v>7861</v>
      </c>
      <c r="P1" s="160" t="s">
        <v>226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61"/>
      <c r="I2" s="169" t="s">
        <v>224</v>
      </c>
      <c r="J2" s="36"/>
      <c r="K2" s="36"/>
      <c r="L2" s="162"/>
      <c r="M2" s="162"/>
      <c r="N2" s="162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61"/>
      <c r="I3" s="36"/>
      <c r="J3" s="36"/>
      <c r="K3" s="36"/>
      <c r="L3" s="162"/>
      <c r="M3" s="162"/>
      <c r="N3" s="162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61"/>
      <c r="I4" s="36"/>
      <c r="J4" s="36"/>
      <c r="K4" s="36"/>
      <c r="L4" s="162"/>
      <c r="M4" s="162"/>
      <c r="N4" s="162"/>
    </row>
    <row r="5" spans="1:16" x14ac:dyDescent="0.25">
      <c r="A5" s="36"/>
      <c r="B5" s="36"/>
      <c r="C5" s="36"/>
      <c r="D5" s="36"/>
      <c r="E5" s="36"/>
      <c r="F5" s="36" t="s">
        <v>7477</v>
      </c>
      <c r="G5" s="36"/>
      <c r="H5" s="161"/>
      <c r="I5" s="36"/>
      <c r="J5" s="36"/>
      <c r="K5" s="36"/>
      <c r="L5" s="162"/>
      <c r="M5" s="162"/>
      <c r="N5" s="162"/>
    </row>
    <row r="6" spans="1:16" ht="16.5" thickBot="1" x14ac:dyDescent="0.3">
      <c r="A6" s="163"/>
      <c r="B6" s="163"/>
      <c r="C6" s="163"/>
      <c r="D6" s="163"/>
      <c r="E6" s="163"/>
      <c r="F6" s="163"/>
      <c r="G6" s="164"/>
      <c r="H6" s="165">
        <v>44742</v>
      </c>
      <c r="I6" s="164"/>
      <c r="J6" s="164" t="s">
        <v>7862</v>
      </c>
      <c r="K6" s="164" t="s">
        <v>7863</v>
      </c>
      <c r="L6" s="42"/>
      <c r="M6" s="42">
        <v>253042.53</v>
      </c>
      <c r="N6" s="42">
        <v>253042.53</v>
      </c>
      <c r="O6" s="166"/>
      <c r="P6" s="166"/>
    </row>
    <row r="7" spans="1:16" ht="16.5" thickBot="1" x14ac:dyDescent="0.3">
      <c r="A7" s="164"/>
      <c r="B7" s="164"/>
      <c r="C7" s="164"/>
      <c r="D7" s="164"/>
      <c r="E7" s="164"/>
      <c r="F7" s="164" t="s">
        <v>7864</v>
      </c>
      <c r="G7" s="164"/>
      <c r="H7" s="165"/>
      <c r="I7" s="164"/>
      <c r="J7" s="164"/>
      <c r="K7" s="164"/>
      <c r="L7" s="167">
        <f>ROUND(SUM(L5:L6),5)</f>
        <v>0</v>
      </c>
      <c r="M7" s="167">
        <f>ROUND(SUM(M5:M6),5)</f>
        <v>253042.53</v>
      </c>
      <c r="N7" s="167">
        <f>N6</f>
        <v>253042.53</v>
      </c>
      <c r="O7" s="166"/>
      <c r="P7" s="166"/>
    </row>
    <row r="8" spans="1:16" ht="16.5" thickBot="1" x14ac:dyDescent="0.3">
      <c r="A8" s="164"/>
      <c r="B8" s="164"/>
      <c r="C8" s="164"/>
      <c r="D8" s="164"/>
      <c r="E8" s="164" t="s">
        <v>8</v>
      </c>
      <c r="F8" s="164"/>
      <c r="G8" s="164"/>
      <c r="H8" s="165"/>
      <c r="I8" s="164"/>
      <c r="J8" s="164"/>
      <c r="K8" s="164"/>
      <c r="L8" s="167">
        <f>L7</f>
        <v>0</v>
      </c>
      <c r="M8" s="167">
        <f>M7</f>
        <v>253042.53</v>
      </c>
      <c r="N8" s="167">
        <f>N7</f>
        <v>253042.53</v>
      </c>
      <c r="O8" s="166"/>
      <c r="P8" s="166"/>
    </row>
    <row r="9" spans="1:16" ht="16.5" thickBot="1" x14ac:dyDescent="0.3">
      <c r="A9" s="164"/>
      <c r="B9" s="164"/>
      <c r="C9" s="164"/>
      <c r="D9" s="164" t="s">
        <v>17</v>
      </c>
      <c r="E9" s="164"/>
      <c r="F9" s="164"/>
      <c r="G9" s="164"/>
      <c r="H9" s="165"/>
      <c r="I9" s="164"/>
      <c r="J9" s="164"/>
      <c r="K9" s="164"/>
      <c r="L9" s="168">
        <f>L8</f>
        <v>0</v>
      </c>
      <c r="M9" s="168">
        <f>M8</f>
        <v>253042.53</v>
      </c>
      <c r="N9" s="168">
        <f>N8</f>
        <v>253042.53</v>
      </c>
      <c r="O9" s="166"/>
      <c r="P9" s="166"/>
    </row>
    <row r="10" spans="1:16" x14ac:dyDescent="0.25">
      <c r="A10" s="164"/>
      <c r="B10" s="164"/>
      <c r="C10" s="164" t="s">
        <v>18</v>
      </c>
      <c r="D10" s="164"/>
      <c r="E10" s="164"/>
      <c r="F10" s="164"/>
      <c r="G10" s="164"/>
      <c r="H10" s="165"/>
      <c r="I10" s="164"/>
      <c r="J10" s="164"/>
      <c r="K10" s="164"/>
      <c r="L10" s="42">
        <f>L9</f>
        <v>0</v>
      </c>
      <c r="M10" s="42">
        <f>M9</f>
        <v>253042.53</v>
      </c>
      <c r="N10" s="42">
        <f>N9</f>
        <v>253042.53</v>
      </c>
      <c r="O10" s="166">
        <v>300000</v>
      </c>
      <c r="P10" s="166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61"/>
      <c r="I11" s="36"/>
      <c r="J11" s="36"/>
      <c r="K11" s="36"/>
      <c r="L11" s="46"/>
      <c r="M11" s="46"/>
      <c r="N11" s="46"/>
      <c r="O11" s="166"/>
      <c r="P11" s="166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61"/>
      <c r="I12" s="36"/>
      <c r="J12" s="36"/>
      <c r="K12" s="36"/>
      <c r="L12" s="46"/>
      <c r="M12" s="46"/>
      <c r="N12" s="46"/>
      <c r="O12" s="166"/>
      <c r="P12" s="166"/>
    </row>
    <row r="13" spans="1:16" ht="16.5" thickBot="1" x14ac:dyDescent="0.3">
      <c r="A13" s="163"/>
      <c r="B13" s="163"/>
      <c r="C13" s="163"/>
      <c r="D13" s="163"/>
      <c r="E13" s="163"/>
      <c r="F13" s="163"/>
      <c r="G13" s="164"/>
      <c r="H13" s="165">
        <v>44742</v>
      </c>
      <c r="I13" s="164"/>
      <c r="J13" s="164" t="s">
        <v>7865</v>
      </c>
      <c r="K13" s="164" t="s">
        <v>7863</v>
      </c>
      <c r="L13" s="45">
        <v>28548</v>
      </c>
      <c r="M13" s="45"/>
      <c r="N13" s="45">
        <v>28548</v>
      </c>
      <c r="O13" s="166"/>
      <c r="P13" s="166"/>
    </row>
    <row r="14" spans="1:16" x14ac:dyDescent="0.25">
      <c r="A14" s="164"/>
      <c r="B14" s="164"/>
      <c r="C14" s="164"/>
      <c r="D14" s="164"/>
      <c r="E14" s="164" t="s">
        <v>35</v>
      </c>
      <c r="F14" s="164"/>
      <c r="G14" s="164"/>
      <c r="H14" s="165"/>
      <c r="I14" s="164"/>
      <c r="J14" s="164"/>
      <c r="K14" s="164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66"/>
      <c r="P14" s="166"/>
    </row>
    <row r="15" spans="1:16" x14ac:dyDescent="0.25">
      <c r="A15" s="36"/>
      <c r="B15" s="36"/>
      <c r="C15" s="36"/>
      <c r="D15" s="36"/>
      <c r="E15" s="36" t="s">
        <v>7465</v>
      </c>
      <c r="F15" s="36"/>
      <c r="G15" s="36"/>
      <c r="H15" s="161"/>
      <c r="I15" s="36"/>
      <c r="J15" s="36"/>
      <c r="K15" s="36"/>
      <c r="L15" s="46"/>
      <c r="M15" s="46"/>
      <c r="N15" s="46"/>
      <c r="O15" s="166"/>
      <c r="P15" s="166"/>
    </row>
    <row r="16" spans="1:16" ht="16.5" thickBot="1" x14ac:dyDescent="0.3">
      <c r="A16" s="163"/>
      <c r="B16" s="163"/>
      <c r="C16" s="163"/>
      <c r="D16" s="163"/>
      <c r="E16" s="163"/>
      <c r="F16" s="163"/>
      <c r="G16" s="164"/>
      <c r="H16" s="165">
        <v>44729</v>
      </c>
      <c r="I16" s="164" t="s">
        <v>7858</v>
      </c>
      <c r="J16" s="164" t="s">
        <v>7866</v>
      </c>
      <c r="K16" s="164" t="s">
        <v>7863</v>
      </c>
      <c r="L16" s="45">
        <v>1010</v>
      </c>
      <c r="M16" s="45"/>
      <c r="N16" s="45">
        <v>1010</v>
      </c>
      <c r="O16" s="166"/>
      <c r="P16" s="166"/>
    </row>
    <row r="17" spans="1:16" x14ac:dyDescent="0.25">
      <c r="A17" s="164"/>
      <c r="B17" s="164"/>
      <c r="C17" s="164"/>
      <c r="D17" s="164"/>
      <c r="E17" s="164" t="s">
        <v>7867</v>
      </c>
      <c r="F17" s="164"/>
      <c r="G17" s="164"/>
      <c r="H17" s="165"/>
      <c r="I17" s="164"/>
      <c r="J17" s="164"/>
      <c r="K17" s="164"/>
      <c r="L17" s="42">
        <f>ROUND(SUM(L15:L16),5)</f>
        <v>1010</v>
      </c>
      <c r="M17" s="42">
        <f>ROUND(SUM(M15:M16),5)</f>
        <v>0</v>
      </c>
      <c r="N17" s="42">
        <f>N16</f>
        <v>1010</v>
      </c>
      <c r="O17" s="166"/>
      <c r="P17" s="166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61"/>
      <c r="I18" s="36"/>
      <c r="J18" s="36"/>
      <c r="K18" s="36"/>
      <c r="L18" s="46"/>
      <c r="M18" s="46"/>
      <c r="N18" s="46"/>
      <c r="O18" s="166"/>
      <c r="P18" s="166"/>
    </row>
    <row r="19" spans="1:16" x14ac:dyDescent="0.25">
      <c r="A19" s="36"/>
      <c r="B19" s="36"/>
      <c r="C19" s="36"/>
      <c r="D19" s="36"/>
      <c r="E19" s="36"/>
      <c r="F19" s="36" t="s">
        <v>7712</v>
      </c>
      <c r="G19" s="36"/>
      <c r="H19" s="161"/>
      <c r="I19" s="36"/>
      <c r="J19" s="36"/>
      <c r="K19" s="36"/>
      <c r="L19" s="46"/>
      <c r="M19" s="46"/>
      <c r="N19" s="46"/>
      <c r="O19" s="166"/>
      <c r="P19" s="166"/>
    </row>
    <row r="20" spans="1:16" x14ac:dyDescent="0.25">
      <c r="A20" s="164"/>
      <c r="B20" s="164"/>
      <c r="C20" s="164"/>
      <c r="D20" s="164"/>
      <c r="E20" s="164"/>
      <c r="F20" s="164"/>
      <c r="G20" s="164"/>
      <c r="H20" s="165">
        <v>44649</v>
      </c>
      <c r="I20" s="164" t="s">
        <v>2385</v>
      </c>
      <c r="J20" s="164" t="s">
        <v>7868</v>
      </c>
      <c r="K20" s="164" t="s">
        <v>7863</v>
      </c>
      <c r="L20" s="42">
        <v>224.56</v>
      </c>
      <c r="M20" s="42"/>
      <c r="N20" s="42">
        <v>224.56</v>
      </c>
      <c r="O20" s="166"/>
      <c r="P20" s="166"/>
    </row>
    <row r="21" spans="1:16" ht="16.5" thickBot="1" x14ac:dyDescent="0.3">
      <c r="A21" s="164"/>
      <c r="B21" s="164"/>
      <c r="C21" s="164"/>
      <c r="D21" s="164"/>
      <c r="E21" s="164"/>
      <c r="F21" s="164"/>
      <c r="G21" s="164"/>
      <c r="H21" s="165">
        <v>44687</v>
      </c>
      <c r="I21" s="164" t="s">
        <v>2385</v>
      </c>
      <c r="J21" s="164" t="s">
        <v>7869</v>
      </c>
      <c r="K21" s="164" t="s">
        <v>7863</v>
      </c>
      <c r="L21" s="42"/>
      <c r="M21" s="42">
        <v>11.19</v>
      </c>
      <c r="N21" s="42">
        <v>213.37</v>
      </c>
      <c r="O21" s="166"/>
      <c r="P21" s="166"/>
    </row>
    <row r="22" spans="1:16" ht="16.5" thickBot="1" x14ac:dyDescent="0.3">
      <c r="A22" s="164"/>
      <c r="B22" s="164"/>
      <c r="C22" s="164"/>
      <c r="D22" s="164"/>
      <c r="E22" s="164"/>
      <c r="F22" s="164" t="s">
        <v>7870</v>
      </c>
      <c r="G22" s="164"/>
      <c r="H22" s="165"/>
      <c r="I22" s="164"/>
      <c r="J22" s="164"/>
      <c r="K22" s="164"/>
      <c r="L22" s="167">
        <f>ROUND(SUM(L19:L21),5)</f>
        <v>224.56</v>
      </c>
      <c r="M22" s="167">
        <f>ROUND(SUM(M19:M21),5)</f>
        <v>11.19</v>
      </c>
      <c r="N22" s="167">
        <f>N21</f>
        <v>213.37</v>
      </c>
      <c r="O22" s="166"/>
      <c r="P22" s="166"/>
    </row>
    <row r="23" spans="1:16" ht="16.5" thickBot="1" x14ac:dyDescent="0.3">
      <c r="A23" s="164"/>
      <c r="B23" s="164"/>
      <c r="C23" s="164"/>
      <c r="D23" s="164"/>
      <c r="E23" s="164" t="s">
        <v>45</v>
      </c>
      <c r="F23" s="164"/>
      <c r="G23" s="164"/>
      <c r="H23" s="165"/>
      <c r="I23" s="164"/>
      <c r="J23" s="164"/>
      <c r="K23" s="164"/>
      <c r="L23" s="167">
        <f>L22</f>
        <v>224.56</v>
      </c>
      <c r="M23" s="167">
        <f>M22</f>
        <v>11.19</v>
      </c>
      <c r="N23" s="167">
        <f>N22</f>
        <v>213.37</v>
      </c>
      <c r="O23" s="166"/>
      <c r="P23" s="166"/>
    </row>
    <row r="24" spans="1:16" ht="16.5" thickBot="1" x14ac:dyDescent="0.3">
      <c r="A24" s="164"/>
      <c r="B24" s="164"/>
      <c r="C24" s="164"/>
      <c r="D24" s="164" t="s">
        <v>47</v>
      </c>
      <c r="E24" s="164"/>
      <c r="F24" s="164"/>
      <c r="G24" s="164"/>
      <c r="H24" s="165"/>
      <c r="I24" s="164"/>
      <c r="J24" s="164"/>
      <c r="K24" s="164"/>
      <c r="L24" s="167">
        <f>ROUND(L14+L17+L23,5)</f>
        <v>29782.560000000001</v>
      </c>
      <c r="M24" s="167">
        <f>ROUND(M14+M17+M23,5)</f>
        <v>11.19</v>
      </c>
      <c r="N24" s="167">
        <f>ROUND(N14+N17+N23,5)</f>
        <v>29771.37</v>
      </c>
      <c r="O24" s="166">
        <v>50000</v>
      </c>
      <c r="P24" s="166">
        <f>N24-O24</f>
        <v>-20228.63</v>
      </c>
    </row>
    <row r="25" spans="1:16" ht="16.5" thickBot="1" x14ac:dyDescent="0.3">
      <c r="A25" s="164"/>
      <c r="B25" s="164" t="s">
        <v>48</v>
      </c>
      <c r="C25" s="164"/>
      <c r="D25" s="164"/>
      <c r="E25" s="164"/>
      <c r="F25" s="164"/>
      <c r="G25" s="164"/>
      <c r="H25" s="165"/>
      <c r="I25" s="164"/>
      <c r="J25" s="164"/>
      <c r="K25" s="164"/>
      <c r="L25" s="167">
        <f>ROUND(L10+L24,5)</f>
        <v>29782.560000000001</v>
      </c>
      <c r="M25" s="167">
        <f>ROUND(M10+M24,5)</f>
        <v>253053.72</v>
      </c>
      <c r="N25" s="167">
        <f>ROUND(N10-N24,5)</f>
        <v>223271.16</v>
      </c>
      <c r="O25" s="166"/>
      <c r="P25" s="166"/>
    </row>
    <row r="26" spans="1:16" s="49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61"/>
      <c r="I26" s="36"/>
      <c r="J26" s="36"/>
      <c r="K26" s="36"/>
      <c r="L26" s="149">
        <f>L25</f>
        <v>29782.560000000001</v>
      </c>
      <c r="M26" s="149">
        <f>M25</f>
        <v>253053.72</v>
      </c>
      <c r="N26" s="149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66"/>
      <c r="M27" s="166"/>
      <c r="N27" s="166"/>
      <c r="O27" s="166"/>
      <c r="P27" s="166"/>
    </row>
    <row r="28" spans="1:16" x14ac:dyDescent="0.25">
      <c r="L28" s="166"/>
      <c r="M28" s="166"/>
      <c r="N28" s="166"/>
      <c r="O28" s="166"/>
      <c r="P28" s="166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1" sqref="H1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1"/>
      <c r="E1" s="112" t="s">
        <v>7749</v>
      </c>
      <c r="F1" s="113"/>
      <c r="G1" s="114"/>
      <c r="H1" s="39" t="s">
        <v>224</v>
      </c>
      <c r="I1" s="115" t="s">
        <v>7750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6" t="s">
        <v>7740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7" t="s">
        <v>7751</v>
      </c>
      <c r="H3" s="5"/>
      <c r="I3" s="5"/>
      <c r="J3" s="5"/>
      <c r="K3" s="5"/>
      <c r="L3" s="5"/>
      <c r="M3" s="5"/>
      <c r="N3" s="118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7742</v>
      </c>
      <c r="F7" s="27"/>
      <c r="G7" s="119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7" t="s">
        <v>7743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7" t="s">
        <v>7744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20" t="s">
        <v>7752</v>
      </c>
      <c r="F12" s="121"/>
      <c r="G12" s="122">
        <v>40000</v>
      </c>
      <c r="H12" s="5"/>
      <c r="I12" s="27" t="s">
        <v>7753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7754</v>
      </c>
      <c r="F13" s="27"/>
      <c r="G13" s="69">
        <f>'[4]updated event rev &amp; Exp 1.4.22 '!G10</f>
        <v>85000</v>
      </c>
      <c r="H13" s="5"/>
      <c r="I13" s="123" t="s">
        <v>7755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7756</v>
      </c>
      <c r="D14" s="5"/>
      <c r="E14" s="5"/>
      <c r="F14" s="27"/>
      <c r="G14" s="69"/>
      <c r="H14" s="5"/>
      <c r="I14" s="123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3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3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3" t="s">
        <v>7757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3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3" t="s">
        <v>7758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4" t="s">
        <v>7745</v>
      </c>
      <c r="E20" s="5"/>
      <c r="F20" s="27"/>
      <c r="G20" s="109">
        <f>'[4]updated event rev &amp; Exp 1.4.22 '!G18</f>
        <v>10000</v>
      </c>
      <c r="H20" s="5"/>
      <c r="I20" s="123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5" t="s">
        <v>5224</v>
      </c>
      <c r="E21" s="5"/>
      <c r="F21" s="27"/>
      <c r="G21" s="109">
        <f>'[4]updated event rev &amp; Exp 1.4.22 '!G19</f>
        <v>50000</v>
      </c>
      <c r="H21" s="5"/>
      <c r="I21" s="123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4" t="s">
        <v>7759</v>
      </c>
      <c r="E22" s="5"/>
      <c r="F22" s="27"/>
      <c r="G22" s="109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3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3" t="s">
        <v>7760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3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3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3" t="s">
        <v>7761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3" t="s">
        <v>7762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9">
        <v>250000</v>
      </c>
      <c r="H29" s="5"/>
      <c r="I29" s="123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3" t="s">
        <v>7761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3" t="s">
        <v>7761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3"/>
      <c r="J32" s="126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3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7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7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30" customFormat="1" ht="12.75" x14ac:dyDescent="0.2">
      <c r="A40" s="4"/>
      <c r="B40" s="4" t="s">
        <v>7422</v>
      </c>
      <c r="C40" s="4"/>
      <c r="D40" s="4"/>
      <c r="E40" s="4"/>
      <c r="F40" s="128"/>
      <c r="G40" s="129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3" t="s">
        <v>7758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1" t="s">
        <v>7757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7" t="s">
        <v>7763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7754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7764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4" t="s">
        <v>7745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5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4" t="s">
        <v>7759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7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2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7" t="s">
        <v>7765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7" t="s">
        <v>7766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7767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7768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7" t="s">
        <v>7769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7" t="s">
        <v>7770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7771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7" t="s">
        <v>7772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7" t="s">
        <v>7773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7" t="s">
        <v>7774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7748</v>
      </c>
      <c r="D83" s="5"/>
      <c r="E83" s="5"/>
      <c r="F83" s="27"/>
      <c r="G83" s="56">
        <v>30000</v>
      </c>
      <c r="I83" s="5" t="s">
        <v>7775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7776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7" t="s">
        <v>7777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7" t="s">
        <v>7778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7" t="s">
        <v>7779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7" t="s">
        <v>7780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7781</v>
      </c>
      <c r="E113" s="5"/>
      <c r="F113" s="27" t="s">
        <v>202</v>
      </c>
      <c r="G113" s="69">
        <v>25000</v>
      </c>
      <c r="I113" s="5" t="s">
        <v>7782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7783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3">
        <v>136735.26019999999</v>
      </c>
      <c r="I119" s="5" t="s">
        <v>7784</v>
      </c>
      <c r="K119" s="5"/>
      <c r="M119" s="134">
        <f>G119+G108+G98+G88+G73+G62+G44+G120</f>
        <v>821170.58799999999</v>
      </c>
      <c r="N119" s="5" t="s">
        <v>7785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7786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7787</v>
      </c>
      <c r="C121" s="5"/>
      <c r="E121" s="5"/>
      <c r="F121" s="27" t="s">
        <v>202</v>
      </c>
      <c r="G121" s="69">
        <v>3000</v>
      </c>
      <c r="I121" s="5" t="s">
        <v>7788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7789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5" t="s">
        <v>7790</v>
      </c>
      <c r="C123" s="136"/>
      <c r="D123" s="136"/>
      <c r="E123" s="136"/>
      <c r="F123" s="137"/>
      <c r="G123" s="138">
        <v>43000</v>
      </c>
      <c r="I123" s="27" t="s">
        <v>7791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7792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7793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7794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7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7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7795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7796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1">
        <f>L137/12</f>
        <v>121179.31983333333</v>
      </c>
      <c r="N137" s="151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7798</v>
      </c>
      <c r="F138" s="5"/>
      <c r="G138" s="145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5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5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5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5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5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5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5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4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59" activePane="bottomRight" state="frozen"/>
      <selection pane="topRight" activeCell="G1" sqref="G1"/>
      <selection pane="bottomLeft" activeCell="A4" sqref="A4"/>
      <selection pane="bottomRight" activeCell="G75" sqref="G75:L75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20" width="12.7109375" style="75" customWidth="1"/>
    <col min="21" max="32" width="12.7109375" style="75" hidden="1" customWidth="1"/>
    <col min="33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7740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7741</v>
      </c>
      <c r="T3" s="9" t="s">
        <v>7842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7742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SUM(G7:L7)</f>
        <v>100000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6"/>
      <c r="D8" s="106"/>
      <c r="E8" s="107" t="s">
        <v>7743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71" si="7">SUM(G8:L8)</f>
        <v>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7" t="s">
        <v>7744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7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7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200000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7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7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8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20000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8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7745</v>
      </c>
      <c r="E20" s="5"/>
      <c r="F20" s="109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7746</v>
      </c>
      <c r="E21" s="5"/>
      <c r="F21" s="109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25000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7747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100000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150000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9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124999.99999999999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25000.000000000004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15000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2000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20000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 t="shared" si="7"/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si="7"/>
        <v>792000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7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7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68">
        <f t="shared" si="7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6"/>
      <c r="E42" s="110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7"/>
        <v>91280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10"/>
      <c r="D43" s="110"/>
      <c r="E43" s="110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6">SUM(G43:R43)</f>
        <v>0</v>
      </c>
      <c r="T43" s="68">
        <f t="shared" si="7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6"/>
        <v>0</v>
      </c>
      <c r="T44" s="68">
        <f t="shared" si="7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10"/>
      <c r="D45" s="110" t="str">
        <f>D6</f>
        <v>Global AppSec</v>
      </c>
      <c r="E45" s="110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6"/>
        <v>0</v>
      </c>
      <c r="T45" s="68">
        <f t="shared" si="7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6"/>
        <v>50000</v>
      </c>
      <c r="T46" s="68">
        <f t="shared" si="7"/>
        <v>50000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7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6"/>
        <v>50000</v>
      </c>
      <c r="T47" s="68">
        <f t="shared" si="7"/>
        <v>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7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6"/>
        <v>520000</v>
      </c>
      <c r="T48" s="68">
        <f t="shared" si="7"/>
        <v>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6" t="str">
        <f>D16</f>
        <v>AppSec Days</v>
      </c>
      <c r="E49" s="106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6"/>
        <v>0</v>
      </c>
      <c r="T49" s="68">
        <f t="shared" si="7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6"/>
        <v>0</v>
      </c>
      <c r="T50" s="68">
        <f t="shared" si="7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6"/>
        <v>55000</v>
      </c>
      <c r="T51" s="68">
        <f t="shared" si="7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6"/>
        <v>0</v>
      </c>
      <c r="T52" s="68">
        <f t="shared" si="7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6"/>
        <v>7500</v>
      </c>
      <c r="T53" s="68">
        <f t="shared" si="7"/>
        <v>3750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6"/>
        <v>18080</v>
      </c>
      <c r="T54" s="68">
        <f t="shared" si="7"/>
        <v>9040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7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7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7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7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6"/>
        <v>90000</v>
      </c>
      <c r="T59" s="68">
        <f t="shared" si="7"/>
        <v>90000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6"/>
        <v>0</v>
      </c>
      <c r="T60" s="68">
        <f t="shared" si="7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6"/>
        <v>60000</v>
      </c>
      <c r="T61" s="68">
        <f t="shared" si="7"/>
        <v>30000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6"/>
        <v>0</v>
      </c>
      <c r="T62" s="68">
        <f t="shared" si="7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6"/>
        <v>0</v>
      </c>
      <c r="T63" s="68">
        <f t="shared" si="7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6"/>
        <v>18000</v>
      </c>
      <c r="T64" s="68">
        <f t="shared" si="7"/>
        <v>9000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6"/>
        <v>183813.47040000002</v>
      </c>
      <c r="T65" s="68">
        <f t="shared" si="7"/>
        <v>91906.73520000001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6"/>
        <v>0</v>
      </c>
      <c r="T66" s="68">
        <f t="shared" si="7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6"/>
        <v>0</v>
      </c>
      <c r="T67" s="68">
        <f t="shared" si="7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6"/>
        <v>0</v>
      </c>
      <c r="T68" s="68">
        <f t="shared" si="7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6"/>
        <v>0</v>
      </c>
      <c r="T69" s="68">
        <f t="shared" si="7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6"/>
        <v>0</v>
      </c>
      <c r="T70" s="68">
        <f t="shared" si="7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6"/>
        <v>0</v>
      </c>
      <c r="T71" s="68">
        <f t="shared" si="7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6"/>
        <v>9000</v>
      </c>
      <c r="T72" s="68">
        <f t="shared" ref="T72:T134" si="18">SUM(G72:L72)</f>
        <v>4500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6"/>
        <v>0</v>
      </c>
      <c r="T73" s="68">
        <f t="shared" si="18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6"/>
        <v>0</v>
      </c>
      <c r="T74" s="68">
        <f t="shared" si="18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6"/>
        <v>18000</v>
      </c>
      <c r="T75" s="68">
        <f t="shared" si="18"/>
        <v>9000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6"/>
        <v>81009.314399999974</v>
      </c>
      <c r="T76" s="68">
        <f t="shared" si="18"/>
        <v>40504.657199999994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6"/>
        <v>0</v>
      </c>
      <c r="T77" s="68">
        <f t="shared" si="18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6"/>
        <v>0</v>
      </c>
      <c r="T78" s="68">
        <f t="shared" si="18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6"/>
        <v>0</v>
      </c>
      <c r="T79" s="68">
        <f t="shared" si="18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6"/>
        <v>0</v>
      </c>
      <c r="T80" s="68">
        <f t="shared" si="18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6"/>
        <v>0</v>
      </c>
      <c r="T81" s="68">
        <f t="shared" si="18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6"/>
        <v>0</v>
      </c>
      <c r="T82" s="68">
        <f t="shared" si="18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6"/>
        <v>0</v>
      </c>
      <c r="T83" s="68">
        <f t="shared" si="18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6"/>
        <v>0</v>
      </c>
      <c r="T84" s="68">
        <f t="shared" si="18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6"/>
        <v>0</v>
      </c>
      <c r="T85" s="68">
        <f t="shared" si="18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6"/>
        <v>0</v>
      </c>
      <c r="T86" s="68">
        <f t="shared" si="18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7748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6"/>
        <v>30000</v>
      </c>
      <c r="T87" s="68">
        <f t="shared" si="18"/>
        <v>20000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6"/>
        <v>60000</v>
      </c>
      <c r="T88" s="68">
        <f t="shared" si="18"/>
        <v>30000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6"/>
        <v>0</v>
      </c>
      <c r="T89" s="68">
        <f t="shared" si="18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6"/>
        <v>0</v>
      </c>
      <c r="T90" s="68">
        <f t="shared" si="18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6"/>
        <v>66671.591</v>
      </c>
      <c r="T91" s="68">
        <f t="shared" si="18"/>
        <v>33335.795499999993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6"/>
        <v>0</v>
      </c>
      <c r="T92" s="68">
        <f t="shared" si="18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6"/>
        <v>40000</v>
      </c>
      <c r="T93" s="68">
        <f t="shared" si="18"/>
        <v>20000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6"/>
        <v>0</v>
      </c>
      <c r="T94" s="68">
        <f t="shared" si="18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6"/>
        <v>0</v>
      </c>
      <c r="T95" s="68">
        <f t="shared" si="18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6"/>
        <v>0</v>
      </c>
      <c r="T96" s="68">
        <f t="shared" si="18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6"/>
        <v>0</v>
      </c>
      <c r="T97" s="68">
        <f t="shared" si="18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6"/>
        <v>0</v>
      </c>
      <c r="T98" s="68">
        <f t="shared" si="18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6"/>
        <v>0</v>
      </c>
      <c r="T99" s="68">
        <f t="shared" si="18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6"/>
        <v>0</v>
      </c>
      <c r="T100" s="68">
        <f t="shared" si="18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6"/>
        <v>45663.237199999981</v>
      </c>
      <c r="T101" s="68">
        <f t="shared" si="18"/>
        <v>22831.618599999994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si="18"/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18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18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18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18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18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18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18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18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18"/>
        <v>27751.722600000005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18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18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18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18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18"/>
        <v>12500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18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18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18"/>
        <v>5000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18"/>
        <v>14000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18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18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18"/>
        <v>68367.630099999995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18"/>
        <v>34607.1348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18"/>
        <v>3000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18"/>
        <v>54000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18"/>
        <v>22000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18"/>
        <v>10684.215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18"/>
        <v>20428.199999999997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18"/>
        <v>15942.624999999998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18"/>
        <v>2435.585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18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30">SUM(F42:F132)</f>
        <v>2154731.838</v>
      </c>
      <c r="G133" s="70">
        <f t="shared" si="30"/>
        <v>100429.31983333334</v>
      </c>
      <c r="H133" s="70">
        <f t="shared" si="30"/>
        <v>100429.31983333334</v>
      </c>
      <c r="I133" s="70">
        <f t="shared" si="30"/>
        <v>137824.31983333337</v>
      </c>
      <c r="J133" s="70">
        <f t="shared" si="30"/>
        <v>108429.31983333334</v>
      </c>
      <c r="K133" s="70">
        <f t="shared" si="30"/>
        <v>200429.31983333334</v>
      </c>
      <c r="L133" s="70">
        <f t="shared" si="30"/>
        <v>198324.31983333334</v>
      </c>
      <c r="M133" s="70">
        <f t="shared" si="30"/>
        <v>110429.31983333334</v>
      </c>
      <c r="N133" s="70">
        <f t="shared" si="30"/>
        <v>100429.31983333334</v>
      </c>
      <c r="O133" s="70">
        <f t="shared" si="30"/>
        <v>177824.31983333334</v>
      </c>
      <c r="P133" s="70">
        <f t="shared" si="30"/>
        <v>637929.31983333325</v>
      </c>
      <c r="Q133" s="70">
        <f t="shared" si="30"/>
        <v>155429.31983333334</v>
      </c>
      <c r="R133" s="70">
        <f t="shared" si="30"/>
        <v>126824.31983333334</v>
      </c>
      <c r="S133" s="70">
        <f t="shared" si="30"/>
        <v>2154731.838</v>
      </c>
      <c r="T133" s="68">
        <f t="shared" si="18"/>
        <v>845865.91900000011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31">F38-F133</f>
        <v>268.16200000001118</v>
      </c>
      <c r="G134" s="71">
        <f t="shared" si="31"/>
        <v>-47929.319833333349</v>
      </c>
      <c r="H134" s="71">
        <f t="shared" si="31"/>
        <v>-37929.319833333349</v>
      </c>
      <c r="I134" s="71">
        <f t="shared" si="31"/>
        <v>-51824.319833333371</v>
      </c>
      <c r="J134" s="71">
        <f t="shared" si="31"/>
        <v>-55929.319833333349</v>
      </c>
      <c r="K134" s="71">
        <f t="shared" si="31"/>
        <v>-47929.319833333342</v>
      </c>
      <c r="L134" s="71">
        <f t="shared" si="31"/>
        <v>187675.68016666666</v>
      </c>
      <c r="M134" s="71">
        <f t="shared" si="31"/>
        <v>-51929.319833333349</v>
      </c>
      <c r="N134" s="71">
        <f t="shared" si="31"/>
        <v>-47929.319833333349</v>
      </c>
      <c r="O134" s="71">
        <f t="shared" si="31"/>
        <v>133175.68016666666</v>
      </c>
      <c r="P134" s="71">
        <f t="shared" si="31"/>
        <v>79570.680166666745</v>
      </c>
      <c r="Q134" s="71">
        <f t="shared" si="31"/>
        <v>-17929.319833333342</v>
      </c>
      <c r="R134" s="71">
        <f t="shared" si="31"/>
        <v>-40824.319833333342</v>
      </c>
      <c r="S134" s="71">
        <f t="shared" si="31"/>
        <v>268.16200000001118</v>
      </c>
      <c r="T134" s="68">
        <f t="shared" si="18"/>
        <v>-53865.919000000082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5">G124+G123+G111+G101+G91+G76+G65+G47</f>
        <v>53217.548999999992</v>
      </c>
      <c r="H136" s="56">
        <f t="shared" si="35"/>
        <v>53217.548999999992</v>
      </c>
      <c r="I136" s="56">
        <f t="shared" si="35"/>
        <v>53217.548999999992</v>
      </c>
      <c r="J136" s="56">
        <f t="shared" si="35"/>
        <v>53217.548999999992</v>
      </c>
      <c r="K136" s="56">
        <f t="shared" si="35"/>
        <v>53217.548999999992</v>
      </c>
      <c r="L136" s="56">
        <f t="shared" si="35"/>
        <v>53217.548999999992</v>
      </c>
      <c r="M136" s="56">
        <f t="shared" si="35"/>
        <v>53217.548999999992</v>
      </c>
      <c r="N136" s="56">
        <f t="shared" si="35"/>
        <v>53217.548999999992</v>
      </c>
      <c r="O136" s="56">
        <f t="shared" si="35"/>
        <v>103217.549</v>
      </c>
      <c r="P136" s="56">
        <f t="shared" si="35"/>
        <v>53217.548999999992</v>
      </c>
      <c r="Q136" s="56">
        <f t="shared" si="35"/>
        <v>53217.548999999992</v>
      </c>
      <c r="R136" s="56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N70"/>
  <sheetViews>
    <sheetView zoomScale="154" zoomScaleNormal="154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G13" sqref="G13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5" bestFit="1" customWidth="1"/>
    <col min="9" max="9" width="9.28515625" style="75" bestFit="1" customWidth="1"/>
    <col min="10" max="10" width="8.7109375" style="75" bestFit="1" customWidth="1"/>
    <col min="11" max="13" width="9.140625" style="75"/>
    <col min="14" max="14" width="12.140625" style="75" bestFit="1" customWidth="1"/>
    <col min="15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05"/>
      <c r="H1" s="105"/>
      <c r="I1" s="105"/>
      <c r="J1" s="105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04" t="s">
        <v>7848</v>
      </c>
      <c r="H2" s="104" t="s">
        <v>7847</v>
      </c>
      <c r="I2" s="104" t="s">
        <v>7738</v>
      </c>
      <c r="J2" s="104" t="s">
        <v>7737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83"/>
      <c r="H3" s="83"/>
      <c r="I3" s="83"/>
      <c r="J3" s="141"/>
    </row>
    <row r="4" spans="1:11" x14ac:dyDescent="0.25">
      <c r="A4" s="77"/>
      <c r="B4" s="77" t="s">
        <v>51</v>
      </c>
      <c r="C4" s="77"/>
      <c r="D4" s="77"/>
      <c r="E4" s="77"/>
      <c r="F4" s="77"/>
      <c r="G4" s="83"/>
      <c r="H4" s="83"/>
      <c r="I4" s="83"/>
      <c r="J4" s="141"/>
    </row>
    <row r="5" spans="1:11" x14ac:dyDescent="0.25">
      <c r="A5" s="77"/>
      <c r="B5" s="77"/>
      <c r="C5" s="77" t="s">
        <v>52</v>
      </c>
      <c r="D5" s="77"/>
      <c r="E5" s="77"/>
      <c r="F5" s="77"/>
      <c r="G5" s="83"/>
      <c r="H5" s="83"/>
      <c r="I5" s="83"/>
      <c r="J5" s="141"/>
    </row>
    <row r="6" spans="1:11" x14ac:dyDescent="0.25">
      <c r="A6" s="77"/>
      <c r="B6" s="77"/>
      <c r="C6" s="77"/>
      <c r="D6" s="77" t="s">
        <v>68</v>
      </c>
      <c r="E6" s="77"/>
      <c r="F6" s="77"/>
      <c r="G6" s="51">
        <v>4259.37</v>
      </c>
      <c r="H6" s="51">
        <v>1959.6</v>
      </c>
      <c r="I6" s="51">
        <f>ROUND((G6-H6),5)</f>
        <v>2299.77</v>
      </c>
      <c r="J6" s="141">
        <f>ROUND(IF(G6=0, IF(H6=0, 0, SIGN(-H6)), IF(H6=0, SIGN(G6), (G6-H6)/ABS(H6))),5)</f>
        <v>1.1735899999999999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51">
        <v>12395.18</v>
      </c>
      <c r="H7" s="51">
        <v>5178.7299999999996</v>
      </c>
      <c r="I7" s="51">
        <f>ROUND((G7-H7),5)</f>
        <v>7216.45</v>
      </c>
      <c r="J7" s="141">
        <f>ROUND(IF(G7=0, IF(H7=0, 0, SIGN(-H7)), IF(H7=0, SIGN(G7), (G7-H7)/ABS(H7))),5)</f>
        <v>1.3934800000000001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51">
        <v>10907.92</v>
      </c>
      <c r="H8" s="51">
        <v>10905.7</v>
      </c>
      <c r="I8" s="51">
        <f>ROUND((G8-H8),5)</f>
        <v>2.2200000000000002</v>
      </c>
      <c r="J8" s="141">
        <f>ROUND(IF(G8=0, IF(H8=0, 0, SIGN(-H8)), IF(H8=0, SIGN(G8), (G8-H8)/ABS(H8))),5)</f>
        <v>2.0000000000000001E-4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52">
        <v>1661427.54</v>
      </c>
      <c r="H9" s="52">
        <v>1049677.4099999999</v>
      </c>
      <c r="I9" s="52">
        <f>ROUND((G9-H9),5)</f>
        <v>611750.13</v>
      </c>
      <c r="J9" s="143">
        <f>ROUND(IF(G9=0, IF(H9=0, 0, SIGN(-H9)), IF(H9=0, SIGN(G9), (G9-H9)/ABS(H9))),5)</f>
        <v>0.58279999999999998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51">
        <f>ROUND(SUM(G5:G9),5)</f>
        <v>1688990.01</v>
      </c>
      <c r="H10" s="51">
        <f>ROUND(SUM(H5:H9),5)</f>
        <v>1067721.44</v>
      </c>
      <c r="I10" s="51">
        <f>ROUND((G10-H10),5)</f>
        <v>621268.56999999995</v>
      </c>
      <c r="J10" s="141">
        <f>ROUND(IF(G10=0, IF(H10=0, 0, SIGN(-H10)), IF(H10=0, SIGN(G10), (G10-H10)/ABS(H10))),5)</f>
        <v>0.58186000000000004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51"/>
      <c r="H11" s="51"/>
      <c r="I11" s="51"/>
      <c r="J11" s="141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52">
        <v>255752.85</v>
      </c>
      <c r="H12" s="52">
        <v>154168.73000000001</v>
      </c>
      <c r="I12" s="52">
        <f>ROUND((G12-H12),5)</f>
        <v>101584.12</v>
      </c>
      <c r="J12" s="143">
        <f>ROUND(IF(G12=0, IF(H12=0, 0, SIGN(-H12)), IF(H12=0, SIGN(G12), (G12-H12)/ABS(H12))),5)</f>
        <v>0.65891999999999995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51">
        <f>ROUND(SUM(G11:G12),5)</f>
        <v>255752.85</v>
      </c>
      <c r="H13" s="51">
        <f>ROUND(SUM(H11:H12),5)</f>
        <v>154168.73000000001</v>
      </c>
      <c r="I13" s="51">
        <f>ROUND((G13-H13),5)</f>
        <v>101584.12</v>
      </c>
      <c r="J13" s="141">
        <f>ROUND(IF(G13=0, IF(H13=0, 0, SIGN(-H13)), IF(H13=0, SIGN(G13), (G13-H13)/ABS(H13))),5)</f>
        <v>0.65891999999999995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51"/>
      <c r="H14" s="51"/>
      <c r="I14" s="51"/>
      <c r="J14" s="141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51">
        <v>0</v>
      </c>
      <c r="H15" s="51">
        <v>58283.38</v>
      </c>
      <c r="I15" s="51">
        <f>ROUND((G15-H15),5)</f>
        <v>-58283.38</v>
      </c>
      <c r="J15" s="141">
        <f>ROUND(IF(G15=0, IF(H15=0, 0, SIGN(-H15)), IF(H15=0, SIGN(G15), (G15-H15)/ABS(H15))),5)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54">
        <f>ROUND(SUM(G14:G15),5)</f>
        <v>0</v>
      </c>
      <c r="H16" s="54">
        <f>ROUND(SUM(H14:H15),5)</f>
        <v>58283.38</v>
      </c>
      <c r="I16" s="54">
        <f>ROUND((G16-H16),5)</f>
        <v>-58283.38</v>
      </c>
      <c r="J16" s="142">
        <f>ROUND(IF(G16=0, IF(H16=0, 0, SIGN(-H16)), IF(H16=0, SIGN(G16), (G16-H16)/ABS(H16))),5)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51">
        <f>ROUND(G4+G10+G13+G16,5)</f>
        <v>1944742.86</v>
      </c>
      <c r="H17" s="51">
        <f>ROUND(H4+H10+H13+H16,5)</f>
        <v>1280173.55</v>
      </c>
      <c r="I17" s="51">
        <f>ROUND((G17-H17),5)</f>
        <v>664569.31000000006</v>
      </c>
      <c r="J17" s="141">
        <f>ROUND(IF(G17=0, IF(H17=0, 0, SIGN(-H17)), IF(H17=0, SIGN(G17), (G17-H17)/ABS(H17))),5)</f>
        <v>0.51912000000000003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51"/>
      <c r="H18" s="51"/>
      <c r="I18" s="51"/>
      <c r="J18" s="141"/>
    </row>
    <row r="19" spans="1:10" x14ac:dyDescent="0.25">
      <c r="A19" s="77"/>
      <c r="B19" s="77"/>
      <c r="C19" s="77" t="s">
        <v>76</v>
      </c>
      <c r="D19" s="77"/>
      <c r="E19" s="77"/>
      <c r="F19" s="77"/>
      <c r="G19" s="51"/>
      <c r="H19" s="51"/>
      <c r="I19" s="51"/>
      <c r="J19" s="141"/>
    </row>
    <row r="20" spans="1:10" x14ac:dyDescent="0.25">
      <c r="A20" s="77"/>
      <c r="B20" s="77"/>
      <c r="C20" s="77"/>
      <c r="D20" s="77" t="s">
        <v>77</v>
      </c>
      <c r="E20" s="77"/>
      <c r="F20" s="77"/>
      <c r="G20" s="51">
        <v>-45454.86</v>
      </c>
      <c r="H20" s="51">
        <v>-40862.980000000003</v>
      </c>
      <c r="I20" s="51">
        <f>ROUND((G20-H20),5)</f>
        <v>-4591.88</v>
      </c>
      <c r="J20" s="141">
        <f>ROUND(IF(G20=0, IF(H20=0, 0, SIGN(-H20)), IF(H20=0, SIGN(G20), (G20-H20)/ABS(H20))),5)</f>
        <v>-0.11237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52">
        <v>45454.86</v>
      </c>
      <c r="H21" s="52">
        <v>45454.86</v>
      </c>
      <c r="I21" s="52">
        <f>ROUND((G21-H21),5)</f>
        <v>0</v>
      </c>
      <c r="J21" s="143">
        <f>ROUND(IF(G21=0, IF(H21=0, 0, SIGN(-H21)), IF(H21=0, SIGN(G21), (G21-H21)/ABS(H21))),5)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51">
        <f>ROUND(SUM(G19:G21),5)</f>
        <v>0</v>
      </c>
      <c r="H22" s="51">
        <f>ROUND(SUM(H19:H21),5)</f>
        <v>4591.88</v>
      </c>
      <c r="I22" s="51">
        <f>ROUND((G22-H22),5)</f>
        <v>-4591.88</v>
      </c>
      <c r="J22" s="141">
        <f>ROUND(IF(G22=0, IF(H22=0, 0, SIGN(-H22)), IF(H22=0, SIGN(G22), (G22-H22)/ABS(H22))),5)</f>
        <v>-1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51"/>
      <c r="H23" s="51"/>
      <c r="I23" s="51"/>
      <c r="J23" s="141"/>
    </row>
    <row r="24" spans="1:10" x14ac:dyDescent="0.25">
      <c r="A24" s="77"/>
      <c r="B24" s="77"/>
      <c r="C24" s="77"/>
      <c r="D24" s="77" t="s">
        <v>81</v>
      </c>
      <c r="E24" s="77"/>
      <c r="F24" s="77"/>
      <c r="G24" s="51">
        <v>-30000</v>
      </c>
      <c r="H24" s="51">
        <v>-30000</v>
      </c>
      <c r="I24" s="51">
        <f>ROUND((G24-H24),5)</f>
        <v>0</v>
      </c>
      <c r="J24" s="141">
        <f>ROUND(IF(G24=0, IF(H24=0, 0, SIGN(-H24)), IF(H24=0, SIGN(G24), (G24-H24)/ABS(H24))),5)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51">
        <v>30000</v>
      </c>
      <c r="H25" s="51">
        <v>30000</v>
      </c>
      <c r="I25" s="51">
        <f>ROUND((G25-H25),5)</f>
        <v>0</v>
      </c>
      <c r="J25" s="141">
        <f>ROUND(IF(G25=0, IF(H25=0, 0, SIGN(-H25)), IF(H25=0, SIGN(G25), (G25-H25)/ABS(H25))),5)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42">
        <f>ROUND(IF(G26=0, IF(H26=0, 0, SIGN(-H26)), IF(H26=0, SIGN(G26), (G26-H26)/ABS(H26))),5)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51">
        <f>ROUND(G18+G22+G26,5)</f>
        <v>0</v>
      </c>
      <c r="H27" s="51">
        <f>ROUND(H18+H22+H26,5)</f>
        <v>4591.88</v>
      </c>
      <c r="I27" s="51">
        <f>ROUND((G27-H27),5)</f>
        <v>-4591.88</v>
      </c>
      <c r="J27" s="141">
        <f>ROUND(IF(G27=0, IF(H27=0, 0, SIGN(-H27)), IF(H27=0, SIGN(G27), (G27-H27)/ABS(H27))),5)</f>
        <v>-1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51"/>
      <c r="H28" s="51"/>
      <c r="I28" s="51"/>
      <c r="J28" s="141"/>
    </row>
    <row r="29" spans="1:10" x14ac:dyDescent="0.25">
      <c r="A29" s="77"/>
      <c r="B29" s="77"/>
      <c r="C29" s="77" t="s">
        <v>85</v>
      </c>
      <c r="D29" s="77"/>
      <c r="E29" s="77"/>
      <c r="F29" s="77"/>
      <c r="G29" s="51">
        <v>0</v>
      </c>
      <c r="H29" s="51">
        <v>36147.800000000003</v>
      </c>
      <c r="I29" s="51">
        <f>ROUND((G29-H29),5)</f>
        <v>-36147.800000000003</v>
      </c>
      <c r="J29" s="141">
        <f>ROUND(IF(G29=0, IF(H29=0, 0, SIGN(-H29)), IF(H29=0, SIGN(G29), (G29-H29)/ABS(H29))),5)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51"/>
      <c r="H30" s="51"/>
      <c r="I30" s="51"/>
      <c r="J30" s="141"/>
    </row>
    <row r="31" spans="1:10" x14ac:dyDescent="0.25">
      <c r="A31" s="77"/>
      <c r="B31" s="77"/>
      <c r="C31" s="77"/>
      <c r="D31" s="77" t="s">
        <v>7819</v>
      </c>
      <c r="E31" s="77"/>
      <c r="F31" s="77"/>
      <c r="G31" s="51">
        <v>7048</v>
      </c>
      <c r="H31" s="51">
        <v>0</v>
      </c>
      <c r="I31" s="51">
        <f>ROUND((G31-H31),5)</f>
        <v>7048</v>
      </c>
      <c r="J31" s="141">
        <f>ROUND(IF(G31=0, IF(H31=0, 0, SIGN(-H31)), IF(H31=0, SIGN(G31), (G31-H31)/ABS(H31))),5)</f>
        <v>1</v>
      </c>
    </row>
    <row r="32" spans="1:10" x14ac:dyDescent="0.25">
      <c r="A32" s="77"/>
      <c r="B32" s="77"/>
      <c r="C32" s="77"/>
      <c r="D32" s="77" t="s">
        <v>87</v>
      </c>
      <c r="E32" s="77"/>
      <c r="F32" s="77"/>
      <c r="G32" s="51">
        <v>57784.160000000003</v>
      </c>
      <c r="H32" s="51">
        <v>24073.09</v>
      </c>
      <c r="I32" s="51">
        <f>ROUND((G32-H32),5)</f>
        <v>33711.07</v>
      </c>
      <c r="J32" s="141">
        <f>ROUND(IF(G32=0, IF(H32=0, 0, SIGN(-H32)), IF(H32=0, SIGN(G32), (G32-H32)/ABS(H32))),5)</f>
        <v>1.40036</v>
      </c>
    </row>
    <row r="33" spans="1:14" x14ac:dyDescent="0.25">
      <c r="A33" s="77"/>
      <c r="B33" s="77"/>
      <c r="C33" s="77"/>
      <c r="D33" s="77" t="s">
        <v>7811</v>
      </c>
      <c r="E33" s="77"/>
      <c r="F33" s="77"/>
      <c r="G33" s="51">
        <v>0</v>
      </c>
      <c r="H33" s="51">
        <v>963.4</v>
      </c>
      <c r="I33" s="51">
        <f>ROUND((G33-H33),5)</f>
        <v>-963.4</v>
      </c>
      <c r="J33" s="141">
        <f>ROUND(IF(G33=0, IF(H33=0, 0, SIGN(-H33)), IF(H33=0, SIGN(G33), (G33-H33)/ABS(H33))),5)</f>
        <v>-1</v>
      </c>
    </row>
    <row r="34" spans="1:14" x14ac:dyDescent="0.25">
      <c r="A34" s="77"/>
      <c r="B34" s="77"/>
      <c r="C34" s="77"/>
      <c r="D34" s="77" t="s">
        <v>88</v>
      </c>
      <c r="E34" s="77"/>
      <c r="F34" s="77"/>
      <c r="G34" s="51">
        <v>6319.8</v>
      </c>
      <c r="H34" s="51">
        <v>14954.43</v>
      </c>
      <c r="I34" s="51">
        <f>ROUND((G34-H34),5)</f>
        <v>-8634.6299999999992</v>
      </c>
      <c r="J34" s="141">
        <f>ROUND(IF(G34=0, IF(H34=0, 0, SIGN(-H34)), IF(H34=0, SIGN(G34), (G34-H34)/ABS(H34))),5)</f>
        <v>-0.57740000000000002</v>
      </c>
    </row>
    <row r="35" spans="1:14" x14ac:dyDescent="0.25">
      <c r="A35" s="77"/>
      <c r="B35" s="77"/>
      <c r="C35" s="77"/>
      <c r="D35" s="77" t="s">
        <v>95</v>
      </c>
      <c r="E35" s="77"/>
      <c r="F35" s="77"/>
      <c r="G35" s="51">
        <v>0</v>
      </c>
      <c r="H35" s="51">
        <v>0</v>
      </c>
      <c r="I35" s="51">
        <f>ROUND((G35-H35),5)</f>
        <v>0</v>
      </c>
      <c r="J35" s="141">
        <f>ROUND(IF(G35=0, IF(H35=0, 0, SIGN(-H35)), IF(H35=0, SIGN(G35), (G35-H35)/ABS(H35))),5)</f>
        <v>0</v>
      </c>
    </row>
    <row r="36" spans="1:14" ht="15.75" thickBot="1" x14ac:dyDescent="0.3">
      <c r="A36" s="77"/>
      <c r="B36" s="77"/>
      <c r="C36" s="77"/>
      <c r="D36" s="77" t="s">
        <v>89</v>
      </c>
      <c r="E36" s="77"/>
      <c r="F36" s="77"/>
      <c r="G36" s="51">
        <v>36595.4</v>
      </c>
      <c r="H36" s="51">
        <v>20465.169999999998</v>
      </c>
      <c r="I36" s="51">
        <f>ROUND((G36-H36),5)</f>
        <v>16130.23</v>
      </c>
      <c r="J36" s="141">
        <f>ROUND(IF(G36=0, IF(H36=0, 0, SIGN(-H36)), IF(H36=0, SIGN(G36), (G36-H36)/ABS(H36))),5)</f>
        <v>0.78817999999999999</v>
      </c>
    </row>
    <row r="37" spans="1:14" ht="15.75" thickBot="1" x14ac:dyDescent="0.3">
      <c r="A37" s="77"/>
      <c r="B37" s="77"/>
      <c r="C37" s="77" t="s">
        <v>90</v>
      </c>
      <c r="D37" s="77"/>
      <c r="E37" s="77"/>
      <c r="F37" s="77"/>
      <c r="G37" s="89">
        <f>ROUND(SUM(G30:G36),5)</f>
        <v>107747.36</v>
      </c>
      <c r="H37" s="89">
        <f>ROUND(SUM(H30:H36),5)</f>
        <v>60456.09</v>
      </c>
      <c r="I37" s="89">
        <f>ROUND((G37-H37),5)</f>
        <v>47291.27</v>
      </c>
      <c r="J37" s="140">
        <f>ROUND(IF(G37=0, IF(H37=0, 0, SIGN(-H37)), IF(H37=0, SIGN(G37), (G37-H37)/ABS(H37))),5)</f>
        <v>0.78224000000000005</v>
      </c>
    </row>
    <row r="38" spans="1:14" ht="15.75" thickBot="1" x14ac:dyDescent="0.3">
      <c r="A38" s="77"/>
      <c r="B38" s="77" t="s">
        <v>91</v>
      </c>
      <c r="C38" s="77"/>
      <c r="D38" s="77"/>
      <c r="E38" s="77"/>
      <c r="F38" s="77"/>
      <c r="G38" s="89">
        <f>ROUND(SUM(G28:G29)+G37,5)</f>
        <v>107747.36</v>
      </c>
      <c r="H38" s="89">
        <f>ROUND(SUM(H28:H29)+H37,5)</f>
        <v>96603.89</v>
      </c>
      <c r="I38" s="89">
        <f>ROUND((G38-H38),5)</f>
        <v>11143.47</v>
      </c>
      <c r="J38" s="140">
        <f>ROUND(IF(G38=0, IF(H38=0, 0, SIGN(-H38)), IF(H38=0, SIGN(G38), (G38-H38)/ABS(H38))),5)</f>
        <v>0.11534999999999999</v>
      </c>
    </row>
    <row r="39" spans="1:14" s="2" customFormat="1" ht="12" thickBot="1" x14ac:dyDescent="0.25">
      <c r="A39" s="77" t="s">
        <v>58</v>
      </c>
      <c r="B39" s="77"/>
      <c r="C39" s="77"/>
      <c r="D39" s="77"/>
      <c r="E39" s="77"/>
      <c r="F39" s="77"/>
      <c r="G39" s="55">
        <f>ROUND(G3+G17+G27+G38,5)</f>
        <v>2052490.22</v>
      </c>
      <c r="H39" s="55">
        <f>ROUND(H3+H17+H27+H38,5)</f>
        <v>1381369.32</v>
      </c>
      <c r="I39" s="55">
        <f>ROUND((G39-H39),5)</f>
        <v>671120.9</v>
      </c>
      <c r="J39" s="139">
        <f>ROUND(IF(G39=0, IF(H39=0, 0, SIGN(-H39)), IF(H39=0, SIGN(G39), (G39-H39)/ABS(H39))),5)</f>
        <v>0.48583999999999999</v>
      </c>
    </row>
    <row r="40" spans="1:14" ht="15.75" thickTop="1" x14ac:dyDescent="0.25">
      <c r="A40" s="77" t="s">
        <v>59</v>
      </c>
      <c r="B40" s="77"/>
      <c r="C40" s="77"/>
      <c r="D40" s="77"/>
      <c r="E40" s="77"/>
      <c r="F40" s="77"/>
      <c r="G40" s="51"/>
      <c r="H40" s="51"/>
      <c r="I40" s="51"/>
      <c r="J40" s="141"/>
      <c r="N40" s="43"/>
    </row>
    <row r="41" spans="1:14" x14ac:dyDescent="0.25">
      <c r="A41" s="77"/>
      <c r="B41" s="77" t="s">
        <v>60</v>
      </c>
      <c r="C41" s="77"/>
      <c r="D41" s="77"/>
      <c r="E41" s="77"/>
      <c r="F41" s="77"/>
      <c r="G41" s="51"/>
      <c r="H41" s="51"/>
      <c r="I41" s="51"/>
      <c r="J41" s="141"/>
    </row>
    <row r="42" spans="1:14" x14ac:dyDescent="0.25">
      <c r="A42" s="77"/>
      <c r="B42" s="77"/>
      <c r="C42" s="77" t="s">
        <v>61</v>
      </c>
      <c r="D42" s="77"/>
      <c r="E42" s="77"/>
      <c r="F42" s="77"/>
      <c r="G42" s="51"/>
      <c r="H42" s="51"/>
      <c r="I42" s="51"/>
      <c r="J42" s="141"/>
    </row>
    <row r="43" spans="1:14" x14ac:dyDescent="0.25">
      <c r="A43" s="77"/>
      <c r="B43" s="77"/>
      <c r="C43" s="77"/>
      <c r="D43" s="77" t="s">
        <v>62</v>
      </c>
      <c r="E43" s="77"/>
      <c r="F43" s="77"/>
      <c r="G43" s="51"/>
      <c r="H43" s="51"/>
      <c r="I43" s="51"/>
      <c r="J43" s="141"/>
    </row>
    <row r="44" spans="1:14" ht="15.75" thickBot="1" x14ac:dyDescent="0.3">
      <c r="A44" s="77"/>
      <c r="B44" s="77"/>
      <c r="C44" s="77"/>
      <c r="D44" s="77"/>
      <c r="E44" s="77" t="s">
        <v>62</v>
      </c>
      <c r="F44" s="77"/>
      <c r="G44" s="52">
        <v>32737.83</v>
      </c>
      <c r="H44" s="52">
        <v>58379.49</v>
      </c>
      <c r="I44" s="52">
        <f>ROUND((G44-H44),5)</f>
        <v>-25641.66</v>
      </c>
      <c r="J44" s="143">
        <f>ROUND(IF(G44=0, IF(H44=0, 0, SIGN(-H44)), IF(H44=0, SIGN(G44), (G44-H44)/ABS(H44))),5)</f>
        <v>-0.43922</v>
      </c>
    </row>
    <row r="45" spans="1:14" x14ac:dyDescent="0.25">
      <c r="A45" s="77"/>
      <c r="B45" s="77"/>
      <c r="C45" s="77"/>
      <c r="D45" s="77" t="s">
        <v>92</v>
      </c>
      <c r="E45" s="77"/>
      <c r="F45" s="77"/>
      <c r="G45" s="51">
        <f>ROUND(SUM(G43:G44),5)</f>
        <v>32737.83</v>
      </c>
      <c r="H45" s="51">
        <f>ROUND(SUM(H43:H44),5)</f>
        <v>58379.49</v>
      </c>
      <c r="I45" s="51">
        <f>ROUND((G45-H45),5)</f>
        <v>-25641.66</v>
      </c>
      <c r="J45" s="141">
        <f>ROUND(IF(G45=0, IF(H45=0, 0, SIGN(-H45)), IF(H45=0, SIGN(G45), (G45-H45)/ABS(H45))),5)</f>
        <v>-0.43922</v>
      </c>
    </row>
    <row r="46" spans="1:14" x14ac:dyDescent="0.25">
      <c r="A46" s="77"/>
      <c r="B46" s="77"/>
      <c r="C46" s="77"/>
      <c r="D46" s="77" t="s">
        <v>63</v>
      </c>
      <c r="E46" s="77"/>
      <c r="F46" s="77"/>
      <c r="G46" s="51"/>
      <c r="H46" s="51"/>
      <c r="I46" s="51"/>
      <c r="J46" s="141"/>
    </row>
    <row r="47" spans="1:14" x14ac:dyDescent="0.25">
      <c r="A47" s="77"/>
      <c r="B47" s="77"/>
      <c r="C47" s="77"/>
      <c r="D47" s="77"/>
      <c r="E47" s="77" t="s">
        <v>7729</v>
      </c>
      <c r="F47" s="77"/>
      <c r="G47" s="51">
        <v>0</v>
      </c>
      <c r="H47" s="51">
        <v>112700</v>
      </c>
      <c r="I47" s="51">
        <f>ROUND((G47-H47),5)</f>
        <v>-112700</v>
      </c>
      <c r="J47" s="141">
        <f>ROUND(IF(G47=0, IF(H47=0, 0, SIGN(-H47)), IF(H47=0, SIGN(G47), (G47-H47)/ABS(H47))),5)</f>
        <v>-1</v>
      </c>
    </row>
    <row r="48" spans="1:14" x14ac:dyDescent="0.25">
      <c r="A48" s="77"/>
      <c r="B48" s="77"/>
      <c r="C48" s="77"/>
      <c r="D48" s="77"/>
      <c r="E48" s="77" t="s">
        <v>93</v>
      </c>
      <c r="F48" s="77"/>
      <c r="G48" s="51"/>
      <c r="H48" s="51"/>
      <c r="I48" s="51"/>
      <c r="J48" s="141"/>
    </row>
    <row r="49" spans="1:10" x14ac:dyDescent="0.25">
      <c r="A49" s="77"/>
      <c r="B49" s="77"/>
      <c r="C49" s="77"/>
      <c r="D49" s="77"/>
      <c r="E49" s="77"/>
      <c r="F49" s="77" t="s">
        <v>7846</v>
      </c>
      <c r="G49" s="51">
        <v>46250</v>
      </c>
      <c r="H49" s="51">
        <v>0</v>
      </c>
      <c r="I49" s="51">
        <f>ROUND((G49-H49),5)</f>
        <v>46250</v>
      </c>
      <c r="J49" s="141">
        <f>ROUND(IF(G49=0, IF(H49=0, 0, SIGN(-H49)), IF(H49=0, SIGN(G49), (G49-H49)/ABS(H49))),5)</f>
        <v>1</v>
      </c>
    </row>
    <row r="50" spans="1:10" x14ac:dyDescent="0.25">
      <c r="A50" s="77"/>
      <c r="B50" s="77"/>
      <c r="C50" s="77"/>
      <c r="D50" s="77"/>
      <c r="E50" s="77"/>
      <c r="F50" s="77" t="s">
        <v>7676</v>
      </c>
      <c r="G50" s="51">
        <v>360583.02</v>
      </c>
      <c r="H50" s="51">
        <v>0</v>
      </c>
      <c r="I50" s="51">
        <f>ROUND((G50-H50),5)</f>
        <v>360583.02</v>
      </c>
      <c r="J50" s="141">
        <f>ROUND(IF(G50=0, IF(H50=0, 0, SIGN(-H50)), IF(H50=0, SIGN(G50), (G50-H50)/ABS(H50))),5)</f>
        <v>1</v>
      </c>
    </row>
    <row r="51" spans="1:10" x14ac:dyDescent="0.25">
      <c r="A51" s="77"/>
      <c r="B51" s="77"/>
      <c r="C51" s="77"/>
      <c r="D51" s="77"/>
      <c r="E51" s="77"/>
      <c r="F51" s="77" t="s">
        <v>7834</v>
      </c>
      <c r="G51" s="51">
        <v>0</v>
      </c>
      <c r="H51" s="51">
        <v>20000</v>
      </c>
      <c r="I51" s="51">
        <f>ROUND((G51-H51),5)</f>
        <v>-20000</v>
      </c>
      <c r="J51" s="141">
        <f>ROUND(IF(G51=0, IF(H51=0, 0, SIGN(-H51)), IF(H51=0, SIGN(G51), (G51-H51)/ABS(H51))),5)</f>
        <v>-1</v>
      </c>
    </row>
    <row r="52" spans="1:10" x14ac:dyDescent="0.25">
      <c r="A52" s="77"/>
      <c r="B52" s="77"/>
      <c r="C52" s="77"/>
      <c r="D52" s="77"/>
      <c r="E52" s="77"/>
      <c r="F52" s="77" t="s">
        <v>7810</v>
      </c>
      <c r="G52" s="51">
        <v>0</v>
      </c>
      <c r="H52" s="51">
        <v>1350</v>
      </c>
      <c r="I52" s="51">
        <f>ROUND((G52-H52),5)</f>
        <v>-1350</v>
      </c>
      <c r="J52" s="141">
        <f>ROUND(IF(G52=0, IF(H52=0, 0, SIGN(-H52)), IF(H52=0, SIGN(G52), (G52-H52)/ABS(H52))),5)</f>
        <v>-1</v>
      </c>
    </row>
    <row r="53" spans="1:10" x14ac:dyDescent="0.25">
      <c r="A53" s="77"/>
      <c r="B53" s="77"/>
      <c r="C53" s="77"/>
      <c r="D53" s="77"/>
      <c r="E53" s="77"/>
      <c r="F53" s="77" t="s">
        <v>7554</v>
      </c>
      <c r="G53" s="51">
        <v>52000</v>
      </c>
      <c r="H53" s="51">
        <v>27000</v>
      </c>
      <c r="I53" s="51">
        <f>ROUND((G53-H53),5)</f>
        <v>25000</v>
      </c>
      <c r="J53" s="141">
        <f>ROUND(IF(G53=0, IF(H53=0, 0, SIGN(-H53)), IF(H53=0, SIGN(G53), (G53-H53)/ABS(H53))),5)</f>
        <v>0.92593000000000003</v>
      </c>
    </row>
    <row r="54" spans="1:10" x14ac:dyDescent="0.25">
      <c r="A54" s="77"/>
      <c r="B54" s="77"/>
      <c r="C54" s="77"/>
      <c r="D54" s="77"/>
      <c r="E54" s="77"/>
      <c r="F54" s="77" t="s">
        <v>7818</v>
      </c>
      <c r="G54" s="51">
        <v>0</v>
      </c>
      <c r="H54" s="51">
        <v>136000</v>
      </c>
      <c r="I54" s="51">
        <f>ROUND((G54-H54),5)</f>
        <v>-136000</v>
      </c>
      <c r="J54" s="141">
        <f>ROUND(IF(G54=0, IF(H54=0, 0, SIGN(-H54)), IF(H54=0, SIGN(G54), (G54-H54)/ABS(H54))),5)</f>
        <v>-1</v>
      </c>
    </row>
    <row r="55" spans="1:10" x14ac:dyDescent="0.25">
      <c r="A55" s="77"/>
      <c r="B55" s="77"/>
      <c r="C55" s="77"/>
      <c r="D55" s="77"/>
      <c r="E55" s="77"/>
      <c r="F55" s="77" t="s">
        <v>94</v>
      </c>
      <c r="G55" s="51">
        <v>218750</v>
      </c>
      <c r="H55" s="51">
        <v>40000</v>
      </c>
      <c r="I55" s="51">
        <f>ROUND((G55-H55),5)</f>
        <v>178750</v>
      </c>
      <c r="J55" s="141">
        <f>ROUND(IF(G55=0, IF(H55=0, 0, SIGN(-H55)), IF(H55=0, SIGN(G55), (G55-H55)/ABS(H55))),5)</f>
        <v>4.46875</v>
      </c>
    </row>
    <row r="56" spans="1:10" x14ac:dyDescent="0.25">
      <c r="A56" s="77"/>
      <c r="B56" s="77"/>
      <c r="C56" s="77"/>
      <c r="D56" s="77"/>
      <c r="E56" s="77"/>
      <c r="F56" s="77" t="s">
        <v>7833</v>
      </c>
      <c r="G56" s="51">
        <v>0</v>
      </c>
      <c r="H56" s="51">
        <v>3900</v>
      </c>
      <c r="I56" s="51">
        <f>ROUND((G56-H56),5)</f>
        <v>-3900</v>
      </c>
      <c r="J56" s="141">
        <f>ROUND(IF(G56=0, IF(H56=0, 0, SIGN(-H56)), IF(H56=0, SIGN(G56), (G56-H56)/ABS(H56))),5)</f>
        <v>-1</v>
      </c>
    </row>
    <row r="57" spans="1:10" x14ac:dyDescent="0.25">
      <c r="A57" s="77"/>
      <c r="B57" s="77"/>
      <c r="C57" s="77"/>
      <c r="D57" s="77"/>
      <c r="E57" s="77"/>
      <c r="F57" s="77" t="s">
        <v>95</v>
      </c>
      <c r="G57" s="51">
        <v>0</v>
      </c>
      <c r="H57" s="51">
        <v>67775.03</v>
      </c>
      <c r="I57" s="51">
        <f>ROUND((G57-H57),5)</f>
        <v>-67775.03</v>
      </c>
      <c r="J57" s="141">
        <f>ROUND(IF(G57=0, IF(H57=0, 0, SIGN(-H57)), IF(H57=0, SIGN(G57), (G57-H57)/ABS(H57))),5)</f>
        <v>-1</v>
      </c>
    </row>
    <row r="58" spans="1:10" ht="15.75" thickBot="1" x14ac:dyDescent="0.3">
      <c r="A58" s="77"/>
      <c r="B58" s="77"/>
      <c r="C58" s="77"/>
      <c r="D58" s="77"/>
      <c r="E58" s="77"/>
      <c r="F58" s="77" t="s">
        <v>88</v>
      </c>
      <c r="G58" s="52">
        <v>14076.26</v>
      </c>
      <c r="H58" s="52">
        <v>23375.73</v>
      </c>
      <c r="I58" s="52">
        <f>ROUND((G58-H58),5)</f>
        <v>-9299.4699999999993</v>
      </c>
      <c r="J58" s="143">
        <f>ROUND(IF(G58=0, IF(H58=0, 0, SIGN(-H58)), IF(H58=0, SIGN(G58), (G58-H58)/ABS(H58))),5)</f>
        <v>-0.39783000000000002</v>
      </c>
    </row>
    <row r="59" spans="1:10" x14ac:dyDescent="0.25">
      <c r="A59" s="77"/>
      <c r="B59" s="77"/>
      <c r="C59" s="77"/>
      <c r="D59" s="77"/>
      <c r="E59" s="77" t="s">
        <v>96</v>
      </c>
      <c r="F59" s="77"/>
      <c r="G59" s="51">
        <f>ROUND(SUM(G48:G58),5)</f>
        <v>691659.28</v>
      </c>
      <c r="H59" s="51">
        <f>ROUND(SUM(H48:H58),5)</f>
        <v>319400.76</v>
      </c>
      <c r="I59" s="51">
        <f>ROUND((G59-H59),5)</f>
        <v>372258.52</v>
      </c>
      <c r="J59" s="141">
        <f>ROUND(IF(G59=0, IF(H59=0, 0, SIGN(-H59)), IF(H59=0, SIGN(G59), (G59-H59)/ABS(H59))),5)</f>
        <v>1.1654899999999999</v>
      </c>
    </row>
    <row r="60" spans="1:10" ht="15.75" thickBot="1" x14ac:dyDescent="0.3">
      <c r="A60" s="77"/>
      <c r="B60" s="77"/>
      <c r="C60" s="77"/>
      <c r="D60" s="77"/>
      <c r="E60" s="77" t="s">
        <v>7695</v>
      </c>
      <c r="F60" s="77"/>
      <c r="G60" s="51">
        <v>-1079.68</v>
      </c>
      <c r="H60" s="51">
        <v>0</v>
      </c>
      <c r="I60" s="51">
        <f>ROUND((G60-H60),5)</f>
        <v>-1079.68</v>
      </c>
      <c r="J60" s="141">
        <f>ROUND(IF(G60=0, IF(H60=0, 0, SIGN(-H60)), IF(H60=0, SIGN(G60), (G60-H60)/ABS(H60))),5)</f>
        <v>-1</v>
      </c>
    </row>
    <row r="61" spans="1:10" ht="15.75" thickBot="1" x14ac:dyDescent="0.3">
      <c r="A61" s="77"/>
      <c r="B61" s="77"/>
      <c r="C61" s="77"/>
      <c r="D61" s="77" t="s">
        <v>97</v>
      </c>
      <c r="E61" s="77"/>
      <c r="F61" s="77"/>
      <c r="G61" s="89">
        <f>ROUND(SUM(G46:G47)+SUM(G59:G60),5)</f>
        <v>690579.6</v>
      </c>
      <c r="H61" s="89">
        <f>ROUND(SUM(H46:H47)+SUM(H59:H60),5)</f>
        <v>432100.76</v>
      </c>
      <c r="I61" s="89">
        <f>ROUND((G61-H61),5)</f>
        <v>258478.84</v>
      </c>
      <c r="J61" s="140">
        <f>ROUND(IF(G61=0, IF(H61=0, 0, SIGN(-H61)), IF(H61=0, SIGN(G61), (G61-H61)/ABS(H61))),5)</f>
        <v>0.59819</v>
      </c>
    </row>
    <row r="62" spans="1:10" ht="15.75" thickBot="1" x14ac:dyDescent="0.3">
      <c r="A62" s="77"/>
      <c r="B62" s="77"/>
      <c r="C62" s="77" t="s">
        <v>64</v>
      </c>
      <c r="D62" s="77"/>
      <c r="E62" s="77"/>
      <c r="F62" s="77"/>
      <c r="G62" s="54">
        <f>ROUND(G42+G45+G61,5)</f>
        <v>723317.43</v>
      </c>
      <c r="H62" s="54">
        <f>ROUND(H42+H45+H61,5)</f>
        <v>490480.25</v>
      </c>
      <c r="I62" s="54">
        <f>ROUND((G62-H62),5)</f>
        <v>232837.18</v>
      </c>
      <c r="J62" s="142">
        <f>ROUND(IF(G62=0, IF(H62=0, 0, SIGN(-H62)), IF(H62=0, SIGN(G62), (G62-H62)/ABS(H62))),5)</f>
        <v>0.47471000000000002</v>
      </c>
    </row>
    <row r="63" spans="1:10" x14ac:dyDescent="0.25">
      <c r="A63" s="77"/>
      <c r="B63" s="77" t="s">
        <v>65</v>
      </c>
      <c r="C63" s="77"/>
      <c r="D63" s="77"/>
      <c r="E63" s="77"/>
      <c r="F63" s="77"/>
      <c r="G63" s="51">
        <f>ROUND(G41+G62,5)</f>
        <v>723317.43</v>
      </c>
      <c r="H63" s="51">
        <f>ROUND(H41+H62,5)</f>
        <v>490480.25</v>
      </c>
      <c r="I63" s="51">
        <f>ROUND((G63-H63),5)</f>
        <v>232837.18</v>
      </c>
      <c r="J63" s="141">
        <f>ROUND(IF(G63=0, IF(H63=0, 0, SIGN(-H63)), IF(H63=0, SIGN(G63), (G63-H63)/ABS(H63))),5)</f>
        <v>0.47471000000000002</v>
      </c>
    </row>
    <row r="64" spans="1:10" x14ac:dyDescent="0.25">
      <c r="A64" s="77"/>
      <c r="B64" s="77" t="s">
        <v>66</v>
      </c>
      <c r="C64" s="77"/>
      <c r="D64" s="77"/>
      <c r="E64" s="77"/>
      <c r="F64" s="77"/>
      <c r="G64" s="51"/>
      <c r="H64" s="51"/>
      <c r="I64" s="51"/>
      <c r="J64" s="141"/>
    </row>
    <row r="65" spans="1:10" x14ac:dyDescent="0.25">
      <c r="A65" s="77"/>
      <c r="B65" s="77"/>
      <c r="C65" s="77" t="s">
        <v>98</v>
      </c>
      <c r="D65" s="77"/>
      <c r="E65" s="77"/>
      <c r="F65" s="77"/>
      <c r="G65" s="51">
        <v>168597.13</v>
      </c>
      <c r="H65" s="51">
        <v>168597.13</v>
      </c>
      <c r="I65" s="51">
        <f>ROUND((G65-H65),5)</f>
        <v>0</v>
      </c>
      <c r="J65" s="141">
        <f>ROUND(IF(G65=0, IF(H65=0, 0, SIGN(-H65)), IF(H65=0, SIGN(G65), (G65-H65)/ABS(H65))),5)</f>
        <v>0</v>
      </c>
    </row>
    <row r="66" spans="1:10" x14ac:dyDescent="0.25">
      <c r="A66" s="77"/>
      <c r="B66" s="77"/>
      <c r="C66" s="77" t="s">
        <v>99</v>
      </c>
      <c r="D66" s="77"/>
      <c r="E66" s="77"/>
      <c r="F66" s="77"/>
      <c r="G66" s="51">
        <v>1002658.01</v>
      </c>
      <c r="H66" s="51">
        <v>817695.88</v>
      </c>
      <c r="I66" s="51">
        <f>ROUND((G66-H66),5)</f>
        <v>184962.13</v>
      </c>
      <c r="J66" s="141">
        <f>ROUND(IF(G66=0, IF(H66=0, 0, SIGN(-H66)), IF(H66=0, SIGN(G66), (G66-H66)/ABS(H66))),5)</f>
        <v>0.22620000000000001</v>
      </c>
    </row>
    <row r="67" spans="1:10" ht="15.75" thickBot="1" x14ac:dyDescent="0.3">
      <c r="A67" s="77"/>
      <c r="B67" s="77"/>
      <c r="C67" s="77" t="s">
        <v>49</v>
      </c>
      <c r="D67" s="77"/>
      <c r="E67" s="77"/>
      <c r="F67" s="77"/>
      <c r="G67" s="51">
        <f>186465.65-28548</f>
        <v>157917.65</v>
      </c>
      <c r="H67" s="51">
        <v>-95403.94</v>
      </c>
      <c r="I67" s="51">
        <f>ROUND((G67-H67),5)</f>
        <v>253321.59</v>
      </c>
      <c r="J67" s="141">
        <f>ROUND(IF(G67=0, IF(H67=0, 0, SIGN(-H67)), IF(H67=0, SIGN(G67), (G67-H67)/ABS(H67))),5)</f>
        <v>2.6552500000000001</v>
      </c>
    </row>
    <row r="68" spans="1:10" ht="15.75" thickBot="1" x14ac:dyDescent="0.3">
      <c r="A68" s="77"/>
      <c r="B68" s="77" t="s">
        <v>100</v>
      </c>
      <c r="C68" s="77"/>
      <c r="D68" s="77"/>
      <c r="E68" s="77"/>
      <c r="F68" s="77"/>
      <c r="G68" s="89">
        <f>ROUND(SUM(G64:G67),5)</f>
        <v>1329172.79</v>
      </c>
      <c r="H68" s="89">
        <f>ROUND(SUM(H64:H67),5)</f>
        <v>890889.07</v>
      </c>
      <c r="I68" s="89">
        <f>ROUND((G68-H68),5)</f>
        <v>438283.72</v>
      </c>
      <c r="J68" s="140">
        <f>ROUND(IF(G68=0, IF(H68=0, 0, SIGN(-H68)), IF(H68=0, SIGN(G68), (G68-H68)/ABS(H68))),5)</f>
        <v>0.49196000000000001</v>
      </c>
    </row>
    <row r="69" spans="1:10" s="2" customFormat="1" ht="12" thickBot="1" x14ac:dyDescent="0.25">
      <c r="A69" s="77" t="s">
        <v>67</v>
      </c>
      <c r="B69" s="77"/>
      <c r="C69" s="77"/>
      <c r="D69" s="77"/>
      <c r="E69" s="77"/>
      <c r="F69" s="77"/>
      <c r="G69" s="55">
        <f>ROUND(G40+G63+G68,5)</f>
        <v>2052490.22</v>
      </c>
      <c r="H69" s="55">
        <f>ROUND(H40+H63+H68,5)</f>
        <v>1381369.32</v>
      </c>
      <c r="I69" s="55">
        <f>ROUND((G69-H69),5)</f>
        <v>671120.9</v>
      </c>
      <c r="J69" s="139">
        <f>ROUND(IF(G69=0, IF(H69=0, 0, SIGN(-H69)), IF(H69=0, SIGN(G69), (G69-H69)/ABS(H69))),5)</f>
        <v>0.48583999999999999</v>
      </c>
    </row>
    <row r="70" spans="1:10" ht="15.75" thickTop="1" x14ac:dyDescent="0.25"/>
  </sheetData>
  <hyperlinks>
    <hyperlink ref="K2" location="Contents!A1" display="Contents" xr:uid="{E2D6F9F2-CB92-4746-A93F-3412BFE7CE02}"/>
  </hyperlinks>
  <pageMargins left="0.7" right="0.7" top="0.75" bottom="0.75" header="0.1" footer="0.3"/>
  <pageSetup scale="67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44" r:id="rId4" name="TextBox1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4" r:id="rId4" name="TextBox12"/>
      </mc:Fallback>
    </mc:AlternateContent>
    <mc:AlternateContent xmlns:mc="http://schemas.openxmlformats.org/markup-compatibility/2006">
      <mc:Choice Requires="x14">
        <control shapeId="69643" r:id="rId6" name="TextBox1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3" r:id="rId6" name="TextBox11"/>
      </mc:Fallback>
    </mc:AlternateContent>
    <mc:AlternateContent xmlns:mc="http://schemas.openxmlformats.org/markup-compatibility/2006">
      <mc:Choice Requires="x14">
        <control shapeId="69642" r:id="rId8" name="TextBox10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2" r:id="rId8" name="TextBox10"/>
      </mc:Fallback>
    </mc:AlternateContent>
    <mc:AlternateContent xmlns:mc="http://schemas.openxmlformats.org/markup-compatibility/2006">
      <mc:Choice Requires="x14">
        <control shapeId="69641" r:id="rId10" name="TextBox9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1" r:id="rId10" name="TextBox9"/>
      </mc:Fallback>
    </mc:AlternateContent>
    <mc:AlternateContent xmlns:mc="http://schemas.openxmlformats.org/markup-compatibility/2006">
      <mc:Choice Requires="x14">
        <control shapeId="69640" r:id="rId12" name="TextBox8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0" r:id="rId12" name="TextBox8"/>
      </mc:Fallback>
    </mc:AlternateContent>
    <mc:AlternateContent xmlns:mc="http://schemas.openxmlformats.org/markup-compatibility/2006">
      <mc:Choice Requires="x14">
        <control shapeId="69639" r:id="rId14" name="TextBox7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9" r:id="rId14" name="TextBox7"/>
      </mc:Fallback>
    </mc:AlternateContent>
    <mc:AlternateContent xmlns:mc="http://schemas.openxmlformats.org/markup-compatibility/2006">
      <mc:Choice Requires="x14">
        <control shapeId="69634" r:id="rId16" name="TextBox2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16" name="TextBox2"/>
      </mc:Fallback>
    </mc:AlternateContent>
    <mc:AlternateContent xmlns:mc="http://schemas.openxmlformats.org/markup-compatibility/2006">
      <mc:Choice Requires="x14">
        <control shapeId="69633" r:id="rId18" name="TextBox1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18" name="TextBox1"/>
      </mc:Fallback>
    </mc:AlternateContent>
    <mc:AlternateContent xmlns:mc="http://schemas.openxmlformats.org/markup-compatibility/2006">
      <mc:Choice Requires="x14">
        <control shapeId="69635" r:id="rId20" name="TextBox3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5" r:id="rId20" name="TextBox3"/>
      </mc:Fallback>
    </mc:AlternateContent>
    <mc:AlternateContent xmlns:mc="http://schemas.openxmlformats.org/markup-compatibility/2006">
      <mc:Choice Requires="x14">
        <control shapeId="69636" r:id="rId22" name="TextBox4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6" r:id="rId22" name="TextBox4"/>
      </mc:Fallback>
    </mc:AlternateContent>
    <mc:AlternateContent xmlns:mc="http://schemas.openxmlformats.org/markup-compatibility/2006">
      <mc:Choice Requires="x14">
        <control shapeId="69637" r:id="rId24" name="TextBox5">
          <controlPr defaultSize="0" autoLine="0" r:id="rId2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7" r:id="rId24" name="TextBox5"/>
      </mc:Fallback>
    </mc:AlternateContent>
    <mc:AlternateContent xmlns:mc="http://schemas.openxmlformats.org/markup-compatibility/2006">
      <mc:Choice Requires="x14">
        <control shapeId="69638" r:id="rId26" name="TextBox6">
          <controlPr defaultSize="0" autoLine="0" r:id="rId2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8" r:id="rId26" name="TextBox6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>
    <pageSetUpPr fitToPage="1"/>
  </sheetPr>
  <dimension ref="A1:P68"/>
  <sheetViews>
    <sheetView zoomScale="172" zoomScaleNormal="172" workbookViewId="0">
      <pane xSplit="7" ySplit="2" topLeftCell="H53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6" width="3" style="2" customWidth="1"/>
    <col min="7" max="7" width="28.7109375" style="2" customWidth="1"/>
    <col min="8" max="10" width="8.7109375" style="75" bestFit="1" customWidth="1"/>
    <col min="11" max="11" width="9.28515625" style="75" bestFit="1" customWidth="1"/>
    <col min="12" max="12" width="8.7109375" style="96" bestFit="1" customWidth="1"/>
    <col min="13" max="13" width="9.140625" style="75"/>
    <col min="14" max="14" width="13.140625" style="75" customWidth="1"/>
    <col min="15" max="16384" width="9.140625" style="75"/>
  </cols>
  <sheetData>
    <row r="1" spans="1:13" ht="15.75" thickBot="1" x14ac:dyDescent="0.3">
      <c r="A1" s="77"/>
      <c r="B1" s="77"/>
      <c r="C1" s="77"/>
      <c r="D1" s="77"/>
      <c r="E1" s="77"/>
      <c r="F1" s="77"/>
      <c r="G1" s="77"/>
      <c r="H1" s="105"/>
      <c r="I1" s="105"/>
      <c r="J1" s="105"/>
      <c r="K1" s="105"/>
      <c r="L1" s="153"/>
    </row>
    <row r="2" spans="1:13" s="3" customFormat="1" ht="16.5" thickTop="1" thickBot="1" x14ac:dyDescent="0.3">
      <c r="A2" s="74"/>
      <c r="B2" s="74"/>
      <c r="C2" s="74"/>
      <c r="D2" s="74"/>
      <c r="E2" s="74"/>
      <c r="F2" s="74"/>
      <c r="G2" s="74"/>
      <c r="H2" s="104" t="s">
        <v>7852</v>
      </c>
      <c r="I2" s="104" t="s">
        <v>7851</v>
      </c>
      <c r="J2" s="104" t="s">
        <v>7738</v>
      </c>
      <c r="K2" s="104" t="s">
        <v>7737</v>
      </c>
      <c r="L2" s="154"/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83"/>
      <c r="I3" s="83"/>
      <c r="J3" s="83"/>
      <c r="K3" s="141"/>
      <c r="L3" s="155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83"/>
      <c r="I4" s="83"/>
      <c r="J4" s="83"/>
      <c r="K4" s="141"/>
      <c r="L4" s="155"/>
    </row>
    <row r="5" spans="1:13" x14ac:dyDescent="0.25">
      <c r="A5" s="77"/>
      <c r="B5" s="77"/>
      <c r="C5" s="77"/>
      <c r="D5" s="77"/>
      <c r="E5" s="77" t="s">
        <v>7850</v>
      </c>
      <c r="F5" s="77"/>
      <c r="G5" s="77"/>
      <c r="H5" s="51">
        <v>1000</v>
      </c>
      <c r="I5" s="51">
        <v>0</v>
      </c>
      <c r="J5" s="51">
        <f>ROUND((H5-I5),5)</f>
        <v>1000</v>
      </c>
      <c r="K5" s="141">
        <f>ROUND(IF(H5=0, IF(I5=0, 0, SIGN(-I5)), IF(I5=0, SIGN(H5), (H5-I5)/ABS(I5))),5)</f>
        <v>1</v>
      </c>
      <c r="L5" s="155"/>
    </row>
    <row r="6" spans="1:13" x14ac:dyDescent="0.25">
      <c r="A6" s="77"/>
      <c r="B6" s="77"/>
      <c r="C6" s="77"/>
      <c r="D6" s="77"/>
      <c r="E6" s="77" t="s">
        <v>7709</v>
      </c>
      <c r="F6" s="77"/>
      <c r="G6" s="77"/>
      <c r="H6" s="51">
        <v>0.18</v>
      </c>
      <c r="I6" s="51">
        <v>0.18</v>
      </c>
      <c r="J6" s="51">
        <f>ROUND((H6-I6),5)</f>
        <v>0</v>
      </c>
      <c r="K6" s="141">
        <f>ROUND(IF(H6=0, IF(I6=0, 0, SIGN(-I6)), IF(I6=0, SIGN(H6), (H6-I6)/ABS(I6))),5)</f>
        <v>0</v>
      </c>
      <c r="L6" s="155"/>
    </row>
    <row r="7" spans="1:13" x14ac:dyDescent="0.25">
      <c r="A7" s="77"/>
      <c r="B7" s="77"/>
      <c r="C7" s="77"/>
      <c r="D7" s="77"/>
      <c r="E7" s="77" t="s">
        <v>7849</v>
      </c>
      <c r="F7" s="77"/>
      <c r="G7" s="77"/>
      <c r="H7" s="51">
        <v>10000</v>
      </c>
      <c r="I7" s="51">
        <v>0</v>
      </c>
      <c r="J7" s="51">
        <f>ROUND((H7-I7),5)</f>
        <v>10000</v>
      </c>
      <c r="K7" s="141">
        <f>ROUND(IF(H7=0, IF(I7=0, 0, SIGN(-I7)), IF(I7=0, SIGN(H7), (H7-I7)/ABS(I7))),5)</f>
        <v>1</v>
      </c>
      <c r="L7" s="155"/>
    </row>
    <row r="8" spans="1:13" x14ac:dyDescent="0.25">
      <c r="A8" s="77"/>
      <c r="B8" s="77"/>
      <c r="C8" s="77"/>
      <c r="D8" s="77"/>
      <c r="E8" s="77" t="s">
        <v>5</v>
      </c>
      <c r="F8" s="77"/>
      <c r="G8" s="77"/>
      <c r="H8" s="51"/>
      <c r="I8" s="51"/>
      <c r="J8" s="51"/>
      <c r="K8" s="141"/>
      <c r="L8" s="155"/>
    </row>
    <row r="9" spans="1:13" x14ac:dyDescent="0.25">
      <c r="A9" s="77"/>
      <c r="B9" s="77"/>
      <c r="C9" s="77"/>
      <c r="D9" s="77"/>
      <c r="E9" s="77"/>
      <c r="F9" s="77" t="s">
        <v>6</v>
      </c>
      <c r="G9" s="77"/>
      <c r="H9" s="51">
        <v>0</v>
      </c>
      <c r="I9" s="51">
        <v>8400</v>
      </c>
      <c r="J9" s="51">
        <f>ROUND((H9-I9),5)</f>
        <v>-8400</v>
      </c>
      <c r="K9" s="141">
        <f>ROUND(IF(H9=0, IF(I9=0, 0, SIGN(-I9)), IF(I9=0, SIGN(H9), (H9-I9)/ABS(I9))),5)</f>
        <v>-1</v>
      </c>
      <c r="L9" s="155"/>
    </row>
    <row r="10" spans="1:13" x14ac:dyDescent="0.25">
      <c r="A10" s="77"/>
      <c r="B10" s="77"/>
      <c r="C10" s="77"/>
      <c r="D10" s="77"/>
      <c r="E10" s="77"/>
      <c r="F10" s="77" t="s">
        <v>7477</v>
      </c>
      <c r="G10" s="77"/>
      <c r="H10" s="51">
        <v>265323.53000000003</v>
      </c>
      <c r="I10" s="51">
        <v>0</v>
      </c>
      <c r="J10" s="51">
        <f>ROUND((H10-I10),5)</f>
        <v>265323.53000000003</v>
      </c>
      <c r="K10" s="141">
        <f>ROUND(IF(H10=0, IF(I10=0, 0, SIGN(-I10)), IF(I10=0, SIGN(H10), (H10-I10)/ABS(I10))),5)</f>
        <v>1</v>
      </c>
      <c r="L10" s="155"/>
    </row>
    <row r="11" spans="1:13" x14ac:dyDescent="0.25">
      <c r="A11" s="77"/>
      <c r="B11" s="77"/>
      <c r="C11" s="77"/>
      <c r="D11" s="77"/>
      <c r="E11" s="77"/>
      <c r="F11" s="77" t="s">
        <v>5224</v>
      </c>
      <c r="G11" s="77"/>
      <c r="H11" s="51">
        <v>0</v>
      </c>
      <c r="I11" s="51">
        <v>56893.78</v>
      </c>
      <c r="J11" s="51">
        <f>ROUND((H11-I11),5)</f>
        <v>-56893.78</v>
      </c>
      <c r="K11" s="141">
        <f>ROUND(IF(H11=0, IF(I11=0, 0, SIGN(-I11)), IF(I11=0, SIGN(H11), (H11-I11)/ABS(I11))),5)</f>
        <v>-1</v>
      </c>
      <c r="L11" s="155"/>
    </row>
    <row r="12" spans="1:13" ht="15.75" thickBot="1" x14ac:dyDescent="0.3">
      <c r="A12" s="77"/>
      <c r="B12" s="77"/>
      <c r="C12" s="77"/>
      <c r="D12" s="77"/>
      <c r="E12" s="77"/>
      <c r="F12" s="77" t="s">
        <v>7</v>
      </c>
      <c r="G12" s="77"/>
      <c r="H12" s="52">
        <v>19147</v>
      </c>
      <c r="I12" s="52">
        <v>0</v>
      </c>
      <c r="J12" s="52">
        <f>ROUND((H12-I12),5)</f>
        <v>19147</v>
      </c>
      <c r="K12" s="143">
        <f>ROUND(IF(H12=0, IF(I12=0, 0, SIGN(-I12)), IF(I12=0, SIGN(H12), (H12-I12)/ABS(I12))),5)</f>
        <v>1</v>
      </c>
      <c r="L12" s="155"/>
    </row>
    <row r="13" spans="1:13" x14ac:dyDescent="0.25">
      <c r="A13" s="77"/>
      <c r="B13" s="77"/>
      <c r="C13" s="77"/>
      <c r="D13" s="77"/>
      <c r="E13" s="77" t="s">
        <v>8</v>
      </c>
      <c r="F13" s="77"/>
      <c r="G13" s="77"/>
      <c r="H13" s="51">
        <f>ROUND(SUM(H8:H12),5)</f>
        <v>284470.53000000003</v>
      </c>
      <c r="I13" s="51">
        <f>ROUND(SUM(I8:I12),5)</f>
        <v>65293.78</v>
      </c>
      <c r="J13" s="51">
        <f>ROUND((H13-I13),5)</f>
        <v>219176.75</v>
      </c>
      <c r="K13" s="141">
        <f>ROUND(IF(H13=0, IF(I13=0, 0, SIGN(-I13)), IF(I13=0, SIGN(H13), (H13-I13)/ABS(I13))),5)</f>
        <v>3.3567800000000001</v>
      </c>
      <c r="L13" s="155"/>
    </row>
    <row r="14" spans="1:13" x14ac:dyDescent="0.25">
      <c r="A14" s="77"/>
      <c r="B14" s="77"/>
      <c r="C14" s="77"/>
      <c r="D14" s="77"/>
      <c r="E14" s="77" t="s">
        <v>9</v>
      </c>
      <c r="F14" s="77"/>
      <c r="G14" s="77"/>
      <c r="H14" s="51"/>
      <c r="I14" s="51"/>
      <c r="J14" s="51"/>
      <c r="K14" s="141"/>
      <c r="L14" s="155"/>
    </row>
    <row r="15" spans="1:13" x14ac:dyDescent="0.25">
      <c r="A15" s="77"/>
      <c r="B15" s="77"/>
      <c r="C15" s="77"/>
      <c r="D15" s="77"/>
      <c r="E15" s="77"/>
      <c r="F15" s="77" t="s">
        <v>10</v>
      </c>
      <c r="G15" s="77"/>
      <c r="H15" s="51">
        <v>50708.41</v>
      </c>
      <c r="I15" s="51">
        <v>24000</v>
      </c>
      <c r="J15" s="51">
        <f>ROUND((H15-I15),5)</f>
        <v>26708.41</v>
      </c>
      <c r="K15" s="141">
        <f>ROUND(IF(H15=0, IF(I15=0, 0, SIGN(-I15)), IF(I15=0, SIGN(H15), (H15-I15)/ABS(I15))),5)</f>
        <v>1.1128499999999999</v>
      </c>
      <c r="L15" s="155"/>
    </row>
    <row r="16" spans="1:13" ht="15.75" thickBot="1" x14ac:dyDescent="0.3">
      <c r="A16" s="77"/>
      <c r="B16" s="77"/>
      <c r="C16" s="77"/>
      <c r="D16" s="77"/>
      <c r="E16" s="77"/>
      <c r="F16" s="77" t="s">
        <v>11</v>
      </c>
      <c r="G16" s="77"/>
      <c r="H16" s="52">
        <v>20841.41</v>
      </c>
      <c r="I16" s="52">
        <v>25214</v>
      </c>
      <c r="J16" s="52">
        <f>ROUND((H16-I16),5)</f>
        <v>-4372.59</v>
      </c>
      <c r="K16" s="143">
        <f>ROUND(IF(H16=0, IF(I16=0, 0, SIGN(-I16)), IF(I16=0, SIGN(H16), (H16-I16)/ABS(I16))),5)</f>
        <v>-0.17341999999999999</v>
      </c>
      <c r="L16" s="155"/>
    </row>
    <row r="17" spans="1:12" x14ac:dyDescent="0.25">
      <c r="A17" s="77"/>
      <c r="B17" s="77"/>
      <c r="C17" s="77"/>
      <c r="D17" s="77"/>
      <c r="E17" s="77" t="s">
        <v>12</v>
      </c>
      <c r="F17" s="77"/>
      <c r="G17" s="77"/>
      <c r="H17" s="51">
        <f>ROUND(SUM(H14:H16),5)</f>
        <v>71549.820000000007</v>
      </c>
      <c r="I17" s="51">
        <f>ROUND(SUM(I14:I16),5)</f>
        <v>49214</v>
      </c>
      <c r="J17" s="51">
        <f>ROUND((H17-I17),5)</f>
        <v>22335.82</v>
      </c>
      <c r="K17" s="141">
        <f>ROUND(IF(H17=0, IF(I17=0, 0, SIGN(-I17)), IF(I17=0, SIGN(H17), (H17-I17)/ABS(I17))),5)</f>
        <v>0.45384999999999998</v>
      </c>
      <c r="L17" s="155"/>
    </row>
    <row r="18" spans="1:12" x14ac:dyDescent="0.25">
      <c r="A18" s="77"/>
      <c r="B18" s="77"/>
      <c r="C18" s="77"/>
      <c r="D18" s="77"/>
      <c r="E18" s="77" t="s">
        <v>228</v>
      </c>
      <c r="F18" s="77"/>
      <c r="G18" s="77"/>
      <c r="H18" s="51"/>
      <c r="I18" s="51"/>
      <c r="J18" s="51"/>
      <c r="K18" s="141"/>
      <c r="L18" s="155"/>
    </row>
    <row r="19" spans="1:12" ht="15.75" thickBot="1" x14ac:dyDescent="0.3">
      <c r="A19" s="77"/>
      <c r="B19" s="77"/>
      <c r="C19" s="77"/>
      <c r="D19" s="77"/>
      <c r="E19" s="77"/>
      <c r="F19" s="77" t="s">
        <v>7473</v>
      </c>
      <c r="G19" s="77"/>
      <c r="H19" s="52">
        <v>69.459999999999994</v>
      </c>
      <c r="I19" s="52">
        <v>93.92</v>
      </c>
      <c r="J19" s="52">
        <f>ROUND((H19-I19),5)</f>
        <v>-24.46</v>
      </c>
      <c r="K19" s="143">
        <f>ROUND(IF(H19=0, IF(I19=0, 0, SIGN(-I19)), IF(I19=0, SIGN(H19), (H19-I19)/ABS(I19))),5)</f>
        <v>-0.26042999999999999</v>
      </c>
      <c r="L19" s="155"/>
    </row>
    <row r="20" spans="1:12" x14ac:dyDescent="0.25">
      <c r="A20" s="77"/>
      <c r="B20" s="77"/>
      <c r="C20" s="77"/>
      <c r="D20" s="77"/>
      <c r="E20" s="77" t="s">
        <v>7472</v>
      </c>
      <c r="F20" s="77"/>
      <c r="G20" s="77"/>
      <c r="H20" s="51">
        <f>ROUND(SUM(H18:H19),5)</f>
        <v>69.459999999999994</v>
      </c>
      <c r="I20" s="51">
        <f>ROUND(SUM(I18:I19),5)</f>
        <v>93.92</v>
      </c>
      <c r="J20" s="51">
        <f>ROUND((H20-I20),5)</f>
        <v>-24.46</v>
      </c>
      <c r="K20" s="141">
        <f>ROUND(IF(H20=0, IF(I20=0, 0, SIGN(-I20)), IF(I20=0, SIGN(H20), (H20-I20)/ABS(I20))),5)</f>
        <v>-0.26042999999999999</v>
      </c>
      <c r="L20" s="155"/>
    </row>
    <row r="21" spans="1:12" x14ac:dyDescent="0.25">
      <c r="A21" s="77"/>
      <c r="B21" s="77"/>
      <c r="C21" s="77"/>
      <c r="D21" s="77"/>
      <c r="E21" s="77" t="s">
        <v>13</v>
      </c>
      <c r="F21" s="77"/>
      <c r="G21" s="77"/>
      <c r="H21" s="51"/>
      <c r="I21" s="51"/>
      <c r="J21" s="51"/>
      <c r="K21" s="141"/>
      <c r="L21" s="155"/>
    </row>
    <row r="22" spans="1:12" x14ac:dyDescent="0.25">
      <c r="A22" s="77"/>
      <c r="B22" s="77"/>
      <c r="C22" s="77"/>
      <c r="D22" s="77"/>
      <c r="E22" s="77"/>
      <c r="F22" s="77" t="s">
        <v>14</v>
      </c>
      <c r="G22" s="77"/>
      <c r="H22" s="51">
        <v>426.22</v>
      </c>
      <c r="I22" s="51">
        <v>25</v>
      </c>
      <c r="J22" s="51">
        <f>ROUND((H22-I22),5)</f>
        <v>401.22</v>
      </c>
      <c r="K22" s="141">
        <f>ROUND(IF(H22=0, IF(I22=0, 0, SIGN(-I22)), IF(I22=0, SIGN(H22), (H22-I22)/ABS(I22))),5)</f>
        <v>16.0488</v>
      </c>
      <c r="L22" s="155"/>
    </row>
    <row r="23" spans="1:12" ht="15.75" thickBot="1" x14ac:dyDescent="0.3">
      <c r="A23" s="77"/>
      <c r="B23" s="77"/>
      <c r="C23" s="77"/>
      <c r="D23" s="77"/>
      <c r="E23" s="77"/>
      <c r="F23" s="77" t="s">
        <v>15</v>
      </c>
      <c r="G23" s="77"/>
      <c r="H23" s="52">
        <v>194.64</v>
      </c>
      <c r="I23" s="52">
        <v>93.23</v>
      </c>
      <c r="J23" s="52">
        <f>ROUND((H23-I23),5)</f>
        <v>101.41</v>
      </c>
      <c r="K23" s="143">
        <f>ROUND(IF(H23=0, IF(I23=0, 0, SIGN(-I23)), IF(I23=0, SIGN(H23), (H23-I23)/ABS(I23))),5)</f>
        <v>1.0877399999999999</v>
      </c>
      <c r="L23" s="155"/>
    </row>
    <row r="24" spans="1:12" x14ac:dyDescent="0.25">
      <c r="A24" s="77"/>
      <c r="B24" s="77"/>
      <c r="C24" s="77"/>
      <c r="D24" s="77"/>
      <c r="E24" s="77" t="s">
        <v>16</v>
      </c>
      <c r="F24" s="77"/>
      <c r="G24" s="77"/>
      <c r="H24" s="51">
        <f>ROUND(SUM(H21:H23),5)</f>
        <v>620.86</v>
      </c>
      <c r="I24" s="51">
        <f>ROUND(SUM(I21:I23),5)</f>
        <v>118.23</v>
      </c>
      <c r="J24" s="51">
        <f>ROUND((H24-I24),5)</f>
        <v>502.63</v>
      </c>
      <c r="K24" s="141">
        <f>ROUND(IF(H24=0, IF(I24=0, 0, SIGN(-I24)), IF(I24=0, SIGN(H24), (H24-I24)/ABS(I24))),5)</f>
        <v>4.25129</v>
      </c>
      <c r="L24" s="155"/>
    </row>
    <row r="25" spans="1:12" x14ac:dyDescent="0.25">
      <c r="A25" s="77"/>
      <c r="B25" s="77"/>
      <c r="C25" s="77"/>
      <c r="D25" s="77"/>
      <c r="E25" s="77" t="s">
        <v>7433</v>
      </c>
      <c r="F25" s="77"/>
      <c r="G25" s="77"/>
      <c r="H25" s="51"/>
      <c r="I25" s="51"/>
      <c r="J25" s="51"/>
      <c r="K25" s="141"/>
      <c r="L25" s="155"/>
    </row>
    <row r="26" spans="1:12" ht="15.75" thickBot="1" x14ac:dyDescent="0.3">
      <c r="A26" s="77"/>
      <c r="B26" s="77"/>
      <c r="C26" s="77"/>
      <c r="D26" s="77"/>
      <c r="E26" s="77"/>
      <c r="F26" s="77" t="s">
        <v>13</v>
      </c>
      <c r="G26" s="77"/>
      <c r="H26" s="51">
        <v>0</v>
      </c>
      <c r="I26" s="51">
        <v>5000</v>
      </c>
      <c r="J26" s="51">
        <f>ROUND((H26-I26),5)</f>
        <v>-5000</v>
      </c>
      <c r="K26" s="141">
        <f>ROUND(IF(H26=0, IF(I26=0, 0, SIGN(-I26)), IF(I26=0, SIGN(H26), (H26-I26)/ABS(I26))),5)</f>
        <v>-1</v>
      </c>
      <c r="L26" s="155"/>
    </row>
    <row r="27" spans="1:12" ht="15.75" thickBot="1" x14ac:dyDescent="0.3">
      <c r="A27" s="77"/>
      <c r="B27" s="77"/>
      <c r="C27" s="77"/>
      <c r="D27" s="77"/>
      <c r="E27" s="77" t="s">
        <v>7434</v>
      </c>
      <c r="F27" s="77"/>
      <c r="G27" s="77"/>
      <c r="H27" s="89">
        <f>ROUND(SUM(H25:H26),5)</f>
        <v>0</v>
      </c>
      <c r="I27" s="89">
        <f>ROUND(SUM(I25:I26),5)</f>
        <v>5000</v>
      </c>
      <c r="J27" s="89">
        <f>ROUND((H27-I27),5)</f>
        <v>-5000</v>
      </c>
      <c r="K27" s="140">
        <f>ROUND(IF(H27=0, IF(I27=0, 0, SIGN(-I27)), IF(I27=0, SIGN(H27), (H27-I27)/ABS(I27))),5)</f>
        <v>-1</v>
      </c>
      <c r="L27" s="155"/>
    </row>
    <row r="28" spans="1:12" ht="15.75" thickBot="1" x14ac:dyDescent="0.3">
      <c r="A28" s="77"/>
      <c r="B28" s="77"/>
      <c r="C28" s="77"/>
      <c r="D28" s="77" t="s">
        <v>17</v>
      </c>
      <c r="E28" s="77"/>
      <c r="F28" s="77"/>
      <c r="G28" s="77"/>
      <c r="H28" s="54">
        <f>ROUND(SUM(H4:H7)+H13+H17+H20+H24+H27,5)</f>
        <v>367710.85</v>
      </c>
      <c r="I28" s="54">
        <f>ROUND(SUM(I4:I7)+I13+I17+I20+I24+I27,5)</f>
        <v>119720.11</v>
      </c>
      <c r="J28" s="54">
        <f>ROUND((H28-I28),5)</f>
        <v>247990.74</v>
      </c>
      <c r="K28" s="142">
        <f>ROUND(IF(H28=0, IF(I28=0, 0, SIGN(-I28)), IF(I28=0, SIGN(H28), (H28-I28)/ABS(I28))),5)</f>
        <v>2.0714199999999998</v>
      </c>
      <c r="L28" s="155"/>
    </row>
    <row r="29" spans="1:12" x14ac:dyDescent="0.25">
      <c r="A29" s="77"/>
      <c r="B29" s="77"/>
      <c r="C29" s="77" t="s">
        <v>18</v>
      </c>
      <c r="D29" s="77"/>
      <c r="E29" s="77"/>
      <c r="F29" s="77"/>
      <c r="G29" s="77"/>
      <c r="H29" s="51">
        <f>H28</f>
        <v>367710.85</v>
      </c>
      <c r="I29" s="51">
        <f>I28</f>
        <v>119720.11</v>
      </c>
      <c r="J29" s="51">
        <f>ROUND((H29-I29),5)</f>
        <v>247990.74</v>
      </c>
      <c r="K29" s="141">
        <f>ROUND(IF(H29=0, IF(I29=0, 0, SIGN(-I29)), IF(I29=0, SIGN(H29), (H29-I29)/ABS(I29))),5)</f>
        <v>2.0714199999999998</v>
      </c>
      <c r="L29" s="155"/>
    </row>
    <row r="30" spans="1:12" x14ac:dyDescent="0.25">
      <c r="A30" s="77"/>
      <c r="B30" s="77"/>
      <c r="C30" s="77"/>
      <c r="D30" s="77" t="s">
        <v>19</v>
      </c>
      <c r="E30" s="77"/>
      <c r="F30" s="77"/>
      <c r="G30" s="77"/>
      <c r="H30" s="51"/>
      <c r="I30" s="51"/>
      <c r="J30" s="51"/>
      <c r="K30" s="141"/>
      <c r="L30" s="155"/>
    </row>
    <row r="31" spans="1:12" x14ac:dyDescent="0.25">
      <c r="A31" s="77"/>
      <c r="B31" s="77"/>
      <c r="C31" s="77"/>
      <c r="D31" s="77"/>
      <c r="E31" s="77" t="s">
        <v>7501</v>
      </c>
      <c r="F31" s="77"/>
      <c r="G31" s="77"/>
      <c r="H31" s="51">
        <v>0</v>
      </c>
      <c r="I31" s="51">
        <v>4230</v>
      </c>
      <c r="J31" s="51">
        <f>ROUND((H31-I31),5)</f>
        <v>-4230</v>
      </c>
      <c r="K31" s="141">
        <f>ROUND(IF(H31=0, IF(I31=0, 0, SIGN(-I31)), IF(I31=0, SIGN(H31), (H31-I31)/ABS(I31))),5)</f>
        <v>-1</v>
      </c>
      <c r="L31" s="155"/>
    </row>
    <row r="32" spans="1:12" x14ac:dyDescent="0.25">
      <c r="A32" s="77"/>
      <c r="B32" s="77"/>
      <c r="C32" s="77"/>
      <c r="D32" s="77"/>
      <c r="E32" s="77" t="s">
        <v>20</v>
      </c>
      <c r="F32" s="77"/>
      <c r="G32" s="77"/>
      <c r="H32" s="51"/>
      <c r="I32" s="51"/>
      <c r="J32" s="51"/>
      <c r="K32" s="141"/>
      <c r="L32" s="155"/>
    </row>
    <row r="33" spans="1:12" x14ac:dyDescent="0.25">
      <c r="A33" s="77"/>
      <c r="B33" s="77"/>
      <c r="C33" s="77"/>
      <c r="D33" s="77"/>
      <c r="E33" s="77"/>
      <c r="F33" s="77" t="s">
        <v>7827</v>
      </c>
      <c r="G33" s="77"/>
      <c r="H33" s="51">
        <v>627.97</v>
      </c>
      <c r="I33" s="51">
        <v>0</v>
      </c>
      <c r="J33" s="51">
        <f>ROUND((H33-I33),5)</f>
        <v>627.97</v>
      </c>
      <c r="K33" s="141">
        <f>ROUND(IF(H33=0, IF(I33=0, 0, SIGN(-I33)), IF(I33=0, SIGN(H33), (H33-I33)/ABS(I33))),5)</f>
        <v>1</v>
      </c>
      <c r="L33" s="155"/>
    </row>
    <row r="34" spans="1:12" x14ac:dyDescent="0.25">
      <c r="A34" s="77"/>
      <c r="B34" s="77"/>
      <c r="C34" s="77"/>
      <c r="D34" s="77"/>
      <c r="E34" s="77"/>
      <c r="F34" s="77" t="s">
        <v>21</v>
      </c>
      <c r="G34" s="77"/>
      <c r="H34" s="51">
        <v>0</v>
      </c>
      <c r="I34" s="51">
        <v>78.739999999999995</v>
      </c>
      <c r="J34" s="51">
        <f>ROUND((H34-I34),5)</f>
        <v>-78.739999999999995</v>
      </c>
      <c r="K34" s="141">
        <f>ROUND(IF(H34=0, IF(I34=0, 0, SIGN(-I34)), IF(I34=0, SIGN(H34), (H34-I34)/ABS(I34))),5)</f>
        <v>-1</v>
      </c>
      <c r="L34" s="155"/>
    </row>
    <row r="35" spans="1:12" x14ac:dyDescent="0.25">
      <c r="A35" s="77"/>
      <c r="B35" s="77"/>
      <c r="C35" s="77"/>
      <c r="D35" s="77"/>
      <c r="E35" s="77"/>
      <c r="F35" s="77" t="s">
        <v>22</v>
      </c>
      <c r="G35" s="77"/>
      <c r="H35" s="51">
        <v>2331.7600000000002</v>
      </c>
      <c r="I35" s="51">
        <v>5841.38</v>
      </c>
      <c r="J35" s="51">
        <f>ROUND((H35-I35),5)</f>
        <v>-3509.62</v>
      </c>
      <c r="K35" s="141">
        <f>ROUND(IF(H35=0, IF(I35=0, 0, SIGN(-I35)), IF(I35=0, SIGN(H35), (H35-I35)/ABS(I35))),5)</f>
        <v>-0.60082000000000002</v>
      </c>
      <c r="L35" s="155"/>
    </row>
    <row r="36" spans="1:12" x14ac:dyDescent="0.25">
      <c r="A36" s="77"/>
      <c r="B36" s="77"/>
      <c r="C36" s="77"/>
      <c r="D36" s="77"/>
      <c r="E36" s="77"/>
      <c r="F36" s="77" t="s">
        <v>23</v>
      </c>
      <c r="G36" s="77"/>
      <c r="H36" s="51">
        <v>0</v>
      </c>
      <c r="I36" s="51">
        <v>60</v>
      </c>
      <c r="J36" s="51">
        <f>ROUND((H36-I36),5)</f>
        <v>-60</v>
      </c>
      <c r="K36" s="141">
        <f>ROUND(IF(H36=0, IF(I36=0, 0, SIGN(-I36)), IF(I36=0, SIGN(H36), (H36-I36)/ABS(I36))),5)</f>
        <v>-1</v>
      </c>
      <c r="L36" s="155"/>
    </row>
    <row r="37" spans="1:12" x14ac:dyDescent="0.25">
      <c r="A37" s="77"/>
      <c r="B37" s="77"/>
      <c r="C37" s="77"/>
      <c r="D37" s="77"/>
      <c r="E37" s="77"/>
      <c r="F37" s="77" t="s">
        <v>24</v>
      </c>
      <c r="G37" s="77"/>
      <c r="H37" s="51">
        <v>382.5</v>
      </c>
      <c r="I37" s="51">
        <v>382.5</v>
      </c>
      <c r="J37" s="51">
        <f>ROUND((H37-I37),5)</f>
        <v>0</v>
      </c>
      <c r="K37" s="141">
        <f>ROUND(IF(H37=0, IF(I37=0, 0, SIGN(-I37)), IF(I37=0, SIGN(H37), (H37-I37)/ABS(I37))),5)</f>
        <v>0</v>
      </c>
      <c r="L37" s="155"/>
    </row>
    <row r="38" spans="1:12" x14ac:dyDescent="0.25">
      <c r="A38" s="77"/>
      <c r="B38" s="77"/>
      <c r="C38" s="77"/>
      <c r="D38" s="77"/>
      <c r="E38" s="77"/>
      <c r="F38" s="77" t="s">
        <v>25</v>
      </c>
      <c r="G38" s="77"/>
      <c r="H38" s="51"/>
      <c r="I38" s="51"/>
      <c r="J38" s="51"/>
      <c r="K38" s="141"/>
      <c r="L38" s="155"/>
    </row>
    <row r="39" spans="1:12" x14ac:dyDescent="0.25">
      <c r="A39" s="77"/>
      <c r="B39" s="77"/>
      <c r="C39" s="77"/>
      <c r="D39" s="77"/>
      <c r="E39" s="77"/>
      <c r="F39" s="77"/>
      <c r="G39" s="77" t="s">
        <v>26</v>
      </c>
      <c r="H39" s="51">
        <v>561.08000000000004</v>
      </c>
      <c r="I39" s="51">
        <v>507.08</v>
      </c>
      <c r="J39" s="51">
        <f>ROUND((H39-I39),5)</f>
        <v>54</v>
      </c>
      <c r="K39" s="141">
        <f>ROUND(IF(H39=0, IF(I39=0, 0, SIGN(-I39)), IF(I39=0, SIGN(H39), (H39-I39)/ABS(I39))),5)</f>
        <v>0.10649</v>
      </c>
      <c r="L39" s="155"/>
    </row>
    <row r="40" spans="1:12" ht="15.75" thickBot="1" x14ac:dyDescent="0.3">
      <c r="A40" s="77"/>
      <c r="B40" s="77"/>
      <c r="C40" s="77"/>
      <c r="D40" s="77"/>
      <c r="E40" s="77"/>
      <c r="F40" s="77"/>
      <c r="G40" s="77" t="s">
        <v>7525</v>
      </c>
      <c r="H40" s="52">
        <v>208.58</v>
      </c>
      <c r="I40" s="52">
        <v>208.34</v>
      </c>
      <c r="J40" s="52">
        <f>ROUND((H40-I40),5)</f>
        <v>0.24</v>
      </c>
      <c r="K40" s="143">
        <f>ROUND(IF(H40=0, IF(I40=0, 0, SIGN(-I40)), IF(I40=0, SIGN(H40), (H40-I40)/ABS(I40))),5)</f>
        <v>1.15E-3</v>
      </c>
      <c r="L40" s="155"/>
    </row>
    <row r="41" spans="1:12" x14ac:dyDescent="0.25">
      <c r="A41" s="77"/>
      <c r="B41" s="77"/>
      <c r="C41" s="77"/>
      <c r="D41" s="77"/>
      <c r="E41" s="77"/>
      <c r="F41" s="77" t="s">
        <v>27</v>
      </c>
      <c r="G41" s="77"/>
      <c r="H41" s="51">
        <f>ROUND(SUM(H38:H40),5)</f>
        <v>769.66</v>
      </c>
      <c r="I41" s="51">
        <f>ROUND(SUM(I38:I40),5)</f>
        <v>715.42</v>
      </c>
      <c r="J41" s="51">
        <f>ROUND((H41-I41),5)</f>
        <v>54.24</v>
      </c>
      <c r="K41" s="141">
        <f>ROUND(IF(H41=0, IF(I41=0, 0, SIGN(-I41)), IF(I41=0, SIGN(H41), (H41-I41)/ABS(I41))),5)</f>
        <v>7.5819999999999999E-2</v>
      </c>
      <c r="L41" s="155"/>
    </row>
    <row r="42" spans="1:12" x14ac:dyDescent="0.25">
      <c r="A42" s="77"/>
      <c r="B42" s="77"/>
      <c r="C42" s="77"/>
      <c r="D42" s="77"/>
      <c r="E42" s="77"/>
      <c r="F42" s="77" t="s">
        <v>7435</v>
      </c>
      <c r="G42" s="77"/>
      <c r="H42" s="51">
        <v>0</v>
      </c>
      <c r="I42" s="51">
        <v>492</v>
      </c>
      <c r="J42" s="51">
        <f>ROUND((H42-I42),5)</f>
        <v>-492</v>
      </c>
      <c r="K42" s="141">
        <f>ROUND(IF(H42=0, IF(I42=0, 0, SIGN(-I42)), IF(I42=0, SIGN(H42), (H42-I42)/ABS(I42))),5)</f>
        <v>-1</v>
      </c>
      <c r="L42" s="155"/>
    </row>
    <row r="43" spans="1:12" x14ac:dyDescent="0.25">
      <c r="A43" s="77"/>
      <c r="B43" s="77"/>
      <c r="C43" s="77"/>
      <c r="D43" s="77"/>
      <c r="E43" s="77"/>
      <c r="F43" s="77" t="s">
        <v>28</v>
      </c>
      <c r="G43" s="77"/>
      <c r="H43" s="51">
        <v>550.65</v>
      </c>
      <c r="I43" s="51">
        <v>4.91</v>
      </c>
      <c r="J43" s="51">
        <f>ROUND((H43-I43),5)</f>
        <v>545.74</v>
      </c>
      <c r="K43" s="141">
        <f>ROUND(IF(H43=0, IF(I43=0, 0, SIGN(-I43)), IF(I43=0, SIGN(H43), (H43-I43)/ABS(I43))),5)</f>
        <v>111.14868</v>
      </c>
      <c r="L43" s="155"/>
    </row>
    <row r="44" spans="1:12" x14ac:dyDescent="0.25">
      <c r="A44" s="77"/>
      <c r="B44" s="77"/>
      <c r="C44" s="77"/>
      <c r="D44" s="77"/>
      <c r="E44" s="77"/>
      <c r="F44" s="77" t="s">
        <v>7436</v>
      </c>
      <c r="G44" s="77"/>
      <c r="H44" s="51">
        <v>495</v>
      </c>
      <c r="I44" s="51">
        <v>1000</v>
      </c>
      <c r="J44" s="51">
        <f>ROUND((H44-I44),5)</f>
        <v>-505</v>
      </c>
      <c r="K44" s="141">
        <f>ROUND(IF(H44=0, IF(I44=0, 0, SIGN(-I44)), IF(I44=0, SIGN(H44), (H44-I44)/ABS(I44))),5)</f>
        <v>-0.505</v>
      </c>
      <c r="L44" s="155"/>
    </row>
    <row r="45" spans="1:12" x14ac:dyDescent="0.25">
      <c r="A45" s="77"/>
      <c r="B45" s="77"/>
      <c r="C45" s="77"/>
      <c r="D45" s="77"/>
      <c r="E45" s="77"/>
      <c r="F45" s="77" t="s">
        <v>29</v>
      </c>
      <c r="G45" s="77"/>
      <c r="H45" s="51"/>
      <c r="I45" s="51"/>
      <c r="J45" s="51"/>
      <c r="K45" s="141"/>
      <c r="L45" s="155"/>
    </row>
    <row r="46" spans="1:12" x14ac:dyDescent="0.25">
      <c r="A46" s="77"/>
      <c r="B46" s="77"/>
      <c r="C46" s="77"/>
      <c r="D46" s="77"/>
      <c r="E46" s="77"/>
      <c r="F46" s="77"/>
      <c r="G46" s="77" t="s">
        <v>30</v>
      </c>
      <c r="H46" s="51">
        <v>2130.8000000000002</v>
      </c>
      <c r="I46" s="51">
        <v>-185.92</v>
      </c>
      <c r="J46" s="51">
        <f>ROUND((H46-I46),5)</f>
        <v>2316.7199999999998</v>
      </c>
      <c r="K46" s="141">
        <f>ROUND(IF(H46=0, IF(I46=0, 0, SIGN(-I46)), IF(I46=0, SIGN(H46), (H46-I46)/ABS(I46))),5)</f>
        <v>12.460839999999999</v>
      </c>
      <c r="L46" s="155"/>
    </row>
    <row r="47" spans="1:12" x14ac:dyDescent="0.25">
      <c r="A47" s="77"/>
      <c r="B47" s="77"/>
      <c r="C47" s="77"/>
      <c r="D47" s="77"/>
      <c r="E47" s="77"/>
      <c r="F47" s="77"/>
      <c r="G47" s="77" t="s">
        <v>7467</v>
      </c>
      <c r="H47" s="51">
        <v>513.79999999999995</v>
      </c>
      <c r="I47" s="51">
        <v>5783.26</v>
      </c>
      <c r="J47" s="51">
        <f>ROUND((H47-I47),5)</f>
        <v>-5269.46</v>
      </c>
      <c r="K47" s="141">
        <f>ROUND(IF(H47=0, IF(I47=0, 0, SIGN(-I47)), IF(I47=0, SIGN(H47), (H47-I47)/ABS(I47))),5)</f>
        <v>-0.91115999999999997</v>
      </c>
      <c r="L47" s="155"/>
    </row>
    <row r="48" spans="1:12" ht="15.75" thickBot="1" x14ac:dyDescent="0.3">
      <c r="A48" s="77"/>
      <c r="B48" s="77"/>
      <c r="C48" s="77"/>
      <c r="D48" s="77"/>
      <c r="E48" s="77"/>
      <c r="F48" s="77"/>
      <c r="G48" s="77" t="s">
        <v>7713</v>
      </c>
      <c r="H48" s="52">
        <v>62.13</v>
      </c>
      <c r="I48" s="52">
        <v>0</v>
      </c>
      <c r="J48" s="52">
        <f>ROUND((H48-I48),5)</f>
        <v>62.13</v>
      </c>
      <c r="K48" s="143">
        <f>ROUND(IF(H48=0, IF(I48=0, 0, SIGN(-I48)), IF(I48=0, SIGN(H48), (H48-I48)/ABS(I48))),5)</f>
        <v>1</v>
      </c>
      <c r="L48" s="155"/>
    </row>
    <row r="49" spans="1:16" x14ac:dyDescent="0.25">
      <c r="A49" s="77"/>
      <c r="B49" s="77"/>
      <c r="C49" s="77"/>
      <c r="D49" s="77"/>
      <c r="E49" s="77"/>
      <c r="F49" s="77" t="s">
        <v>31</v>
      </c>
      <c r="G49" s="77"/>
      <c r="H49" s="51">
        <f>ROUND(SUM(H45:H48),5)</f>
        <v>2706.73</v>
      </c>
      <c r="I49" s="51">
        <f>ROUND(SUM(I45:I48),5)</f>
        <v>5597.34</v>
      </c>
      <c r="J49" s="51">
        <f>ROUND((H49-I49),5)</f>
        <v>-2890.61</v>
      </c>
      <c r="K49" s="141">
        <f>ROUND(IF(H49=0, IF(I49=0, 0, SIGN(-I49)), IF(I49=0, SIGN(H49), (H49-I49)/ABS(I49))),5)</f>
        <v>-0.51642999999999994</v>
      </c>
      <c r="L49" s="155"/>
    </row>
    <row r="50" spans="1:16" ht="15.75" thickBot="1" x14ac:dyDescent="0.3">
      <c r="A50" s="77"/>
      <c r="B50" s="77"/>
      <c r="C50" s="77"/>
      <c r="D50" s="77"/>
      <c r="E50" s="77"/>
      <c r="F50" s="77" t="s">
        <v>7466</v>
      </c>
      <c r="G50" s="77"/>
      <c r="H50" s="52">
        <v>254.27</v>
      </c>
      <c r="I50" s="52">
        <v>50.26</v>
      </c>
      <c r="J50" s="52">
        <f>ROUND((H50-I50),5)</f>
        <v>204.01</v>
      </c>
      <c r="K50" s="143">
        <f>ROUND(IF(H50=0, IF(I50=0, 0, SIGN(-I50)), IF(I50=0, SIGN(H50), (H50-I50)/ABS(I50))),5)</f>
        <v>4.0590900000000003</v>
      </c>
      <c r="L50" s="155"/>
    </row>
    <row r="51" spans="1:16" x14ac:dyDescent="0.25">
      <c r="A51" s="77"/>
      <c r="B51" s="77"/>
      <c r="C51" s="77"/>
      <c r="D51" s="77"/>
      <c r="E51" s="77" t="s">
        <v>32</v>
      </c>
      <c r="F51" s="77"/>
      <c r="G51" s="77"/>
      <c r="H51" s="51">
        <f>ROUND(SUM(H32:H37)+SUM(H41:H44)+SUM(H49:H50),5)</f>
        <v>8118.54</v>
      </c>
      <c r="I51" s="51">
        <f>ROUND(SUM(I32:I37)+SUM(I41:I44)+SUM(I49:I50),5)</f>
        <v>14222.55</v>
      </c>
      <c r="J51" s="51">
        <f>ROUND((H51-I51),5)</f>
        <v>-6104.01</v>
      </c>
      <c r="K51" s="141">
        <f>ROUND(IF(H51=0, IF(I51=0, 0, SIGN(-I51)), IF(I51=0, SIGN(H51), (H51-I51)/ABS(I51))),5)</f>
        <v>-0.42918000000000001</v>
      </c>
      <c r="L51" s="155"/>
    </row>
    <row r="52" spans="1:16" x14ac:dyDescent="0.25">
      <c r="A52" s="77"/>
      <c r="B52" s="77"/>
      <c r="C52" s="77"/>
      <c r="D52" s="77"/>
      <c r="E52" s="77" t="s">
        <v>33</v>
      </c>
      <c r="F52" s="77"/>
      <c r="G52" s="77"/>
      <c r="H52" s="51">
        <f>16569.4+28548</f>
        <v>45117.4</v>
      </c>
      <c r="I52" s="51">
        <v>11578.45</v>
      </c>
      <c r="J52" s="51">
        <f>ROUND((H52-I52),5)</f>
        <v>33538.949999999997</v>
      </c>
      <c r="K52" s="141">
        <f>ROUND(IF(H52=0, IF(I52=0, 0, SIGN(-I52)), IF(I52=0, SIGN(H52), (H52-I52)/ABS(I52))),5)</f>
        <v>2.8966699999999999</v>
      </c>
      <c r="L52" s="155"/>
    </row>
    <row r="53" spans="1:16" x14ac:dyDescent="0.25">
      <c r="A53" s="77"/>
      <c r="B53" s="77"/>
      <c r="C53" s="77"/>
      <c r="D53" s="77"/>
      <c r="E53" s="77" t="s">
        <v>7465</v>
      </c>
      <c r="F53" s="77"/>
      <c r="G53" s="77"/>
      <c r="H53" s="51">
        <f>1010+412.8</f>
        <v>1422.8</v>
      </c>
      <c r="I53" s="51">
        <v>0</v>
      </c>
      <c r="J53" s="51">
        <f>ROUND((H53-I53),5)</f>
        <v>1422.8</v>
      </c>
      <c r="K53" s="141">
        <f>ROUND(IF(H53=0, IF(I53=0, 0, SIGN(-I53)), IF(I53=0, SIGN(H53), (H53-I53)/ABS(I53))),5)</f>
        <v>1</v>
      </c>
      <c r="L53" s="155"/>
    </row>
    <row r="54" spans="1:16" x14ac:dyDescent="0.25">
      <c r="A54" s="77"/>
      <c r="B54" s="77"/>
      <c r="C54" s="77"/>
      <c r="D54" s="77"/>
      <c r="E54" s="77" t="s">
        <v>36</v>
      </c>
      <c r="F54" s="77"/>
      <c r="G54" s="77"/>
      <c r="H54" s="51">
        <v>346.75</v>
      </c>
      <c r="I54" s="51">
        <v>102.45</v>
      </c>
      <c r="J54" s="51">
        <f>ROUND((H54-I54),5)</f>
        <v>244.3</v>
      </c>
      <c r="K54" s="141">
        <f>ROUND(IF(H54=0, IF(I54=0, 0, SIGN(-I54)), IF(I54=0, SIGN(H54), (H54-I54)/ABS(I54))),5)</f>
        <v>2.3845800000000001</v>
      </c>
      <c r="L54" s="155"/>
    </row>
    <row r="55" spans="1:16" x14ac:dyDescent="0.25">
      <c r="A55" s="77"/>
      <c r="B55" s="77"/>
      <c r="C55" s="77"/>
      <c r="D55" s="77"/>
      <c r="E55" s="77" t="s">
        <v>39</v>
      </c>
      <c r="F55" s="77"/>
      <c r="G55" s="77"/>
      <c r="H55" s="51"/>
      <c r="I55" s="51"/>
      <c r="J55" s="51"/>
      <c r="K55" s="141"/>
      <c r="L55" s="155"/>
    </row>
    <row r="56" spans="1:16" x14ac:dyDescent="0.25">
      <c r="A56" s="77"/>
      <c r="B56" s="77"/>
      <c r="C56" s="77"/>
      <c r="D56" s="77"/>
      <c r="E56" s="77"/>
      <c r="F56" s="77" t="s">
        <v>7464</v>
      </c>
      <c r="G56" s="77"/>
      <c r="H56" s="51">
        <v>0</v>
      </c>
      <c r="I56" s="51">
        <v>0</v>
      </c>
      <c r="J56" s="51">
        <f>ROUND((H56-I56),5)</f>
        <v>0</v>
      </c>
      <c r="K56" s="141">
        <f>ROUND(IF(H56=0, IF(I56=0, 0, SIGN(-I56)), IF(I56=0, SIGN(H56), (H56-I56)/ABS(I56))),5)</f>
        <v>0</v>
      </c>
      <c r="L56" s="155"/>
    </row>
    <row r="57" spans="1:16" x14ac:dyDescent="0.25">
      <c r="A57" s="77"/>
      <c r="B57" s="77"/>
      <c r="C57" s="77"/>
      <c r="D57" s="77"/>
      <c r="E57" s="77"/>
      <c r="F57" s="77" t="s">
        <v>40</v>
      </c>
      <c r="G57" s="77"/>
      <c r="H57" s="51">
        <v>48879.66</v>
      </c>
      <c r="I57" s="51">
        <v>49351.16</v>
      </c>
      <c r="J57" s="51">
        <f>ROUND((H57-I57),5)</f>
        <v>-471.5</v>
      </c>
      <c r="K57" s="141">
        <f>ROUND(IF(H57=0, IF(I57=0, 0, SIGN(-I57)), IF(I57=0, SIGN(H57), (H57-I57)/ABS(I57))),5)</f>
        <v>-9.5499999999999995E-3</v>
      </c>
      <c r="L57" s="155"/>
    </row>
    <row r="58" spans="1:16" x14ac:dyDescent="0.25">
      <c r="A58" s="77"/>
      <c r="B58" s="77"/>
      <c r="C58" s="77"/>
      <c r="D58" s="77"/>
      <c r="E58" s="77"/>
      <c r="F58" s="77" t="s">
        <v>7828</v>
      </c>
      <c r="G58" s="77"/>
      <c r="H58" s="51">
        <v>5694.78</v>
      </c>
      <c r="I58" s="51">
        <v>18575.72</v>
      </c>
      <c r="J58" s="51">
        <f>ROUND((H58-I58),5)</f>
        <v>-12880.94</v>
      </c>
      <c r="K58" s="141">
        <f>ROUND(IF(H58=0, IF(I58=0, 0, SIGN(-I58)), IF(I58=0, SIGN(H58), (H58-I58)/ABS(I58))),5)</f>
        <v>-0.69342999999999999</v>
      </c>
      <c r="L58" s="155"/>
      <c r="N58" s="75" t="s">
        <v>7798</v>
      </c>
      <c r="O58" s="58">
        <v>0.22231677883718848</v>
      </c>
      <c r="P58" s="43">
        <f>$H$60*O58</f>
        <v>14861.805523896821</v>
      </c>
    </row>
    <row r="59" spans="1:16" ht="15.75" thickBot="1" x14ac:dyDescent="0.3">
      <c r="A59" s="77"/>
      <c r="B59" s="77"/>
      <c r="C59" s="77"/>
      <c r="D59" s="77"/>
      <c r="E59" s="77"/>
      <c r="F59" s="77" t="s">
        <v>7829</v>
      </c>
      <c r="G59" s="77"/>
      <c r="H59" s="52">
        <v>12275.24</v>
      </c>
      <c r="I59" s="52">
        <v>0</v>
      </c>
      <c r="J59" s="52">
        <f>ROUND((H59-I59),5)</f>
        <v>12275.24</v>
      </c>
      <c r="K59" s="143">
        <f>ROUND(IF(H59=0, IF(I59=0, 0, SIGN(-I59)), IF(I59=0, SIGN(H59), (H59-I59)/ABS(I59))),5)</f>
        <v>1</v>
      </c>
      <c r="L59" s="155"/>
      <c r="N59" s="75" t="s">
        <v>7460</v>
      </c>
      <c r="O59" s="58">
        <v>0.22384322220756409</v>
      </c>
      <c r="P59" s="43">
        <f t="shared" ref="P59:P65" si="0">$H$60*O59</f>
        <v>14963.84777474455</v>
      </c>
    </row>
    <row r="60" spans="1:16" x14ac:dyDescent="0.25">
      <c r="A60" s="77"/>
      <c r="B60" s="77"/>
      <c r="C60" s="77"/>
      <c r="D60" s="77"/>
      <c r="E60" s="77" t="s">
        <v>42</v>
      </c>
      <c r="F60" s="77"/>
      <c r="G60" s="77"/>
      <c r="H60" s="51">
        <f>ROUND(SUM(H55:H59),5)</f>
        <v>66849.679999999993</v>
      </c>
      <c r="I60" s="51">
        <f>ROUND(SUM(I55:I59),5)</f>
        <v>67926.880000000005</v>
      </c>
      <c r="J60" s="51">
        <f>ROUND((H60-I60),5)</f>
        <v>-1077.2</v>
      </c>
      <c r="K60" s="141">
        <f>ROUND(IF(H60=0, IF(I60=0, 0, SIGN(-I60)), IF(I60=0, SIGN(H60), (H60-I60)/ABS(I60))),5)</f>
        <v>-1.5859999999999999E-2</v>
      </c>
      <c r="L60" s="155"/>
      <c r="N60" s="75" t="s">
        <v>232</v>
      </c>
      <c r="O60" s="58">
        <v>9.865101792954134E-2</v>
      </c>
      <c r="P60" s="43">
        <f t="shared" si="0"/>
        <v>6594.7889802641002</v>
      </c>
    </row>
    <row r="61" spans="1:16" x14ac:dyDescent="0.25">
      <c r="A61" s="77"/>
      <c r="B61" s="77"/>
      <c r="C61" s="77"/>
      <c r="D61" s="77"/>
      <c r="E61" s="77" t="s">
        <v>43</v>
      </c>
      <c r="F61" s="77"/>
      <c r="G61" s="77"/>
      <c r="H61" s="51"/>
      <c r="I61" s="51"/>
      <c r="J61" s="51"/>
      <c r="K61" s="141"/>
      <c r="L61" s="155"/>
      <c r="N61" s="75" t="s">
        <v>7462</v>
      </c>
      <c r="O61" s="58">
        <v>8.1190914499728761E-2</v>
      </c>
      <c r="P61" s="43">
        <f t="shared" si="0"/>
        <v>5427.5866532142272</v>
      </c>
    </row>
    <row r="62" spans="1:16" x14ac:dyDescent="0.25">
      <c r="A62" s="77"/>
      <c r="B62" s="77"/>
      <c r="C62" s="77"/>
      <c r="D62" s="77"/>
      <c r="E62" s="77"/>
      <c r="F62" s="77" t="s">
        <v>7437</v>
      </c>
      <c r="G62" s="77"/>
      <c r="H62" s="51">
        <v>-35.61</v>
      </c>
      <c r="I62" s="51">
        <v>0</v>
      </c>
      <c r="J62" s="51">
        <f>ROUND((H62-I62),5)</f>
        <v>-35.61</v>
      </c>
      <c r="K62" s="141">
        <f>ROUND(IF(H62=0, IF(I62=0, 0, SIGN(-I62)), IF(I62=0, SIGN(H62), (H62-I62)/ABS(I62))),5)</f>
        <v>-1</v>
      </c>
      <c r="L62" s="155"/>
      <c r="N62" s="75" t="s">
        <v>231</v>
      </c>
      <c r="O62" s="58">
        <v>5.5607492361867197E-2</v>
      </c>
      <c r="P62" s="43">
        <f t="shared" si="0"/>
        <v>3717.343069993266</v>
      </c>
    </row>
    <row r="63" spans="1:16" x14ac:dyDescent="0.25">
      <c r="A63" s="77"/>
      <c r="B63" s="77"/>
      <c r="C63" s="77"/>
      <c r="D63" s="77"/>
      <c r="E63" s="77"/>
      <c r="F63" s="77" t="s">
        <v>7438</v>
      </c>
      <c r="G63" s="77"/>
      <c r="H63" s="51">
        <v>1880.9</v>
      </c>
      <c r="I63" s="51">
        <v>10054.280000000001</v>
      </c>
      <c r="J63" s="51">
        <f>ROUND((H63-I63),5)</f>
        <v>-8173.38</v>
      </c>
      <c r="K63" s="141">
        <f>ROUND(IF(H63=0, IF(I63=0, 0, SIGN(-I63)), IF(I63=0, SIGN(H63), (H63-I63)/ABS(I63))),5)</f>
        <v>-0.81293000000000004</v>
      </c>
      <c r="L63" s="155"/>
      <c r="N63" s="75" t="s">
        <v>7463</v>
      </c>
      <c r="O63" s="58">
        <v>6.75906395225154E-2</v>
      </c>
      <c r="P63" s="43">
        <f t="shared" si="0"/>
        <v>4518.4126230755064</v>
      </c>
    </row>
    <row r="64" spans="1:16" ht="15.75" thickBot="1" x14ac:dyDescent="0.3">
      <c r="A64" s="77"/>
      <c r="B64" s="77"/>
      <c r="C64" s="77"/>
      <c r="D64" s="77"/>
      <c r="E64" s="77"/>
      <c r="F64" s="77" t="s">
        <v>44</v>
      </c>
      <c r="G64" s="77"/>
      <c r="H64" s="52">
        <v>9000</v>
      </c>
      <c r="I64" s="52">
        <v>9000</v>
      </c>
      <c r="J64" s="52">
        <f>ROUND((H64-I64),5)</f>
        <v>0</v>
      </c>
      <c r="K64" s="143">
        <f>ROUND(IF(H64=0, IF(I64=0, 0, SIGN(-I64)), IF(I64=0, SIGN(H64), (H64-I64)/ABS(I64))),5)</f>
        <v>0</v>
      </c>
      <c r="L64" s="155"/>
      <c r="N64" s="75" t="s">
        <v>7439</v>
      </c>
      <c r="O64" s="58">
        <v>0.16651261284579766</v>
      </c>
      <c r="P64" s="43">
        <f t="shared" si="0"/>
        <v>11131.314884705462</v>
      </c>
    </row>
    <row r="65" spans="1:16" x14ac:dyDescent="0.25">
      <c r="A65" s="77"/>
      <c r="B65" s="77"/>
      <c r="C65" s="77"/>
      <c r="D65" s="77"/>
      <c r="E65" s="77" t="s">
        <v>45</v>
      </c>
      <c r="F65" s="77"/>
      <c r="G65" s="77"/>
      <c r="H65" s="51">
        <f>ROUND(SUM(H61:H64),5)</f>
        <v>10845.29</v>
      </c>
      <c r="I65" s="51">
        <f>ROUND(SUM(I61:I64),5)</f>
        <v>19054.28</v>
      </c>
      <c r="J65" s="51">
        <f>ROUND((H65-I65),5)</f>
        <v>-8208.99</v>
      </c>
      <c r="K65" s="141">
        <f>ROUND(IF(H65=0, IF(I65=0, 0, SIGN(-I65)), IF(I65=0, SIGN(H65), (H65-I65)/ABS(I65))),5)</f>
        <v>-0.43081999999999998</v>
      </c>
      <c r="L65" s="155"/>
      <c r="N65" s="75" t="s">
        <v>201</v>
      </c>
      <c r="O65" s="58">
        <v>8.4287321795797204E-2</v>
      </c>
      <c r="P65" s="43">
        <f t="shared" si="0"/>
        <v>5634.5804901060683</v>
      </c>
    </row>
    <row r="66" spans="1:16" ht="15.75" thickBot="1" x14ac:dyDescent="0.3">
      <c r="A66" s="77"/>
      <c r="B66" s="77"/>
      <c r="C66" s="77"/>
      <c r="D66" s="77"/>
      <c r="E66" s="77" t="s">
        <v>46</v>
      </c>
      <c r="F66" s="77"/>
      <c r="G66" s="77"/>
      <c r="H66" s="51">
        <v>1364.93</v>
      </c>
      <c r="I66" s="51">
        <v>1534.95</v>
      </c>
      <c r="J66" s="51">
        <f>ROUND((H66-I66),5)</f>
        <v>-170.02</v>
      </c>
      <c r="K66" s="141">
        <f>ROUND(IF(H66=0, IF(I66=0, 0, SIGN(-I66)), IF(I66=0, SIGN(H66), (H66-I66)/ABS(I66))),5)</f>
        <v>-0.11076999999999999</v>
      </c>
      <c r="L66" s="155"/>
      <c r="P66" s="43">
        <f>SUM(P58:P65)</f>
        <v>66849.679999999993</v>
      </c>
    </row>
    <row r="67" spans="1:16" ht="15.75" thickBot="1" x14ac:dyDescent="0.3">
      <c r="A67" s="77"/>
      <c r="B67" s="77"/>
      <c r="C67" s="77"/>
      <c r="D67" s="77" t="s">
        <v>47</v>
      </c>
      <c r="E67" s="77"/>
      <c r="F67" s="77"/>
      <c r="G67" s="77"/>
      <c r="H67" s="54">
        <f>ROUND(SUM(H30:H31)+SUM(H51:H54)+H60+SUM(H65:H66),5)</f>
        <v>134065.39000000001</v>
      </c>
      <c r="I67" s="54">
        <f>ROUND(SUM(I30:I31)+SUM(I51:I54)+I60+SUM(I65:I66),5)</f>
        <v>118649.56</v>
      </c>
      <c r="J67" s="54">
        <f>ROUND((H67-I67),5)</f>
        <v>15415.83</v>
      </c>
      <c r="K67" s="142">
        <f>ROUND(IF(H67=0, IF(I67=0, 0, SIGN(-I67)), IF(I67=0, SIGN(H67), (H67-I67)/ABS(I67))),5)</f>
        <v>0.12992999999999999</v>
      </c>
      <c r="L67" s="155"/>
    </row>
    <row r="68" spans="1:16" x14ac:dyDescent="0.25">
      <c r="A68" s="77"/>
      <c r="B68" s="77" t="s">
        <v>48</v>
      </c>
      <c r="C68" s="77"/>
      <c r="D68" s="77"/>
      <c r="E68" s="77"/>
      <c r="F68" s="77"/>
      <c r="G68" s="77"/>
      <c r="H68" s="51">
        <f>ROUND(H3+H29-H67,5)</f>
        <v>233645.46</v>
      </c>
      <c r="I68" s="51">
        <f>ROUND(I3+I29-I67,5)</f>
        <v>1070.55</v>
      </c>
      <c r="J68" s="51">
        <f>ROUND((H68-I68),5)</f>
        <v>232574.91</v>
      </c>
      <c r="K68" s="141">
        <f>ROUND(IF(H68=0, IF(I68=0, 0, SIGN(-I68)), IF(I68=0, SIGN(H68), (H68-I68)/ABS(I68))),5)</f>
        <v>217.24806000000001</v>
      </c>
      <c r="L68" s="155"/>
    </row>
  </sheetData>
  <hyperlinks>
    <hyperlink ref="M2" location="Contents!A1" display="Contents" xr:uid="{02F79320-7F09-4D5D-A418-D0B9299A05FE}"/>
  </hyperlinks>
  <pageMargins left="0.7" right="0.7" top="0.75" bottom="0.75" header="0.3" footer="0.3"/>
  <pageSetup scale="68" orientation="portrait" r:id="rId1"/>
  <drawing r:id="rId2"/>
  <legacyDrawing r:id="rId3"/>
  <controls>
    <mc:AlternateContent xmlns:mc="http://schemas.openxmlformats.org/markup-compatibility/2006">
      <mc:Choice Requires="x14">
        <control shapeId="87046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6" r:id="rId4" name="TextBox6"/>
      </mc:Fallback>
    </mc:AlternateContent>
    <mc:AlternateContent xmlns:mc="http://schemas.openxmlformats.org/markup-compatibility/2006">
      <mc:Choice Requires="x14">
        <control shapeId="87045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5" r:id="rId6" name="TextBox5"/>
      </mc:Fallback>
    </mc:AlternateContent>
    <mc:AlternateContent xmlns:mc="http://schemas.openxmlformats.org/markup-compatibility/2006">
      <mc:Choice Requires="x14">
        <control shapeId="87044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4" r:id="rId8" name="TextBox4"/>
      </mc:Fallback>
    </mc:AlternateContent>
    <mc:AlternateContent xmlns:mc="http://schemas.openxmlformats.org/markup-compatibility/2006">
      <mc:Choice Requires="x14">
        <control shapeId="87043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3" r:id="rId10" name="TextBox3"/>
      </mc:Fallback>
    </mc:AlternateContent>
    <mc:AlternateContent xmlns:mc="http://schemas.openxmlformats.org/markup-compatibility/2006">
      <mc:Choice Requires="x14">
        <control shapeId="87041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1" r:id="rId12" name="TextBox1"/>
      </mc:Fallback>
    </mc:AlternateContent>
    <mc:AlternateContent xmlns:mc="http://schemas.openxmlformats.org/markup-compatibility/2006">
      <mc:Choice Requires="x14">
        <control shapeId="87042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2" r:id="rId14" name="TextBox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sheetPr>
    <pageSetUpPr fitToPage="1"/>
  </sheetPr>
  <dimension ref="A1:S102"/>
  <sheetViews>
    <sheetView zoomScale="160" zoomScaleNormal="160" workbookViewId="0">
      <pane xSplit="7" ySplit="2" topLeftCell="H68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7" width="3" style="2" customWidth="1"/>
    <col min="8" max="8" width="27.5703125" style="2" customWidth="1"/>
    <col min="9" max="10" width="10.140625" style="75" bestFit="1" customWidth="1"/>
    <col min="11" max="11" width="8.7109375" style="75" bestFit="1" customWidth="1"/>
    <col min="12" max="12" width="9.28515625" style="75" bestFit="1" customWidth="1"/>
    <col min="13" max="14" width="9.140625" style="75"/>
    <col min="15" max="15" width="10.140625" style="75" bestFit="1" customWidth="1"/>
    <col min="16" max="16" width="9.140625" style="75"/>
    <col min="17" max="17" width="11" style="75" customWidth="1"/>
    <col min="18" max="18" width="10.28515625" style="75" customWidth="1"/>
    <col min="19" max="16384" width="9.140625" style="75"/>
  </cols>
  <sheetData>
    <row r="1" spans="1:13" s="3" customFormat="1" ht="15.75" thickBot="1" x14ac:dyDescent="0.3">
      <c r="A1" s="77"/>
      <c r="B1" s="77"/>
      <c r="C1" s="77"/>
      <c r="D1" s="77"/>
      <c r="E1" s="77"/>
      <c r="F1" s="77"/>
      <c r="G1" s="77"/>
      <c r="H1" s="77"/>
      <c r="I1" s="105"/>
      <c r="J1" s="105"/>
      <c r="K1" s="105"/>
      <c r="L1" s="105"/>
    </row>
    <row r="2" spans="1:13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4" t="s">
        <v>7854</v>
      </c>
      <c r="J2" s="104" t="s">
        <v>7853</v>
      </c>
      <c r="K2" s="104" t="s">
        <v>7738</v>
      </c>
      <c r="L2" s="104" t="s">
        <v>7737</v>
      </c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1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1"/>
    </row>
    <row r="5" spans="1:13" x14ac:dyDescent="0.25">
      <c r="A5" s="77"/>
      <c r="B5" s="77"/>
      <c r="C5" s="77"/>
      <c r="D5" s="77"/>
      <c r="E5" s="77" t="s">
        <v>7850</v>
      </c>
      <c r="F5" s="77"/>
      <c r="G5" s="77"/>
      <c r="H5" s="77"/>
      <c r="I5" s="51">
        <v>1000</v>
      </c>
      <c r="J5" s="51">
        <v>0</v>
      </c>
      <c r="K5" s="51">
        <f>ROUND((I5-J5),5)</f>
        <v>1000</v>
      </c>
      <c r="L5" s="141">
        <f>ROUND(IF(I5=0, IF(J5=0, 0, SIGN(-J5)), IF(J5=0, SIGN(I5), (I5-J5)/ABS(J5))),5)</f>
        <v>1</v>
      </c>
    </row>
    <row r="6" spans="1:13" x14ac:dyDescent="0.25">
      <c r="A6" s="77"/>
      <c r="B6" s="77"/>
      <c r="C6" s="77"/>
      <c r="D6" s="77"/>
      <c r="E6" s="77" t="s">
        <v>7709</v>
      </c>
      <c r="F6" s="77"/>
      <c r="G6" s="77"/>
      <c r="H6" s="77"/>
      <c r="I6" s="51">
        <v>1.1000000000000001</v>
      </c>
      <c r="J6" s="51">
        <v>1.1000000000000001</v>
      </c>
      <c r="K6" s="51">
        <f>ROUND((I6-J6),5)</f>
        <v>0</v>
      </c>
      <c r="L6" s="141">
        <f>ROUND(IF(I6=0, IF(J6=0, 0, SIGN(-J6)), IF(J6=0, SIGN(I6), (I6-J6)/ABS(J6))),5)</f>
        <v>0</v>
      </c>
    </row>
    <row r="7" spans="1:13" x14ac:dyDescent="0.25">
      <c r="A7" s="77"/>
      <c r="B7" s="77"/>
      <c r="C7" s="77"/>
      <c r="D7" s="77"/>
      <c r="E7" s="77" t="s">
        <v>7849</v>
      </c>
      <c r="F7" s="77"/>
      <c r="G7" s="77"/>
      <c r="H7" s="77"/>
      <c r="I7" s="51">
        <v>10000</v>
      </c>
      <c r="J7" s="51">
        <v>0</v>
      </c>
      <c r="K7" s="51">
        <f>ROUND((I7-J7),5)</f>
        <v>10000</v>
      </c>
      <c r="L7" s="141">
        <f>ROUND(IF(I7=0, IF(J7=0, 0, SIGN(-J7)), IF(J7=0, SIGN(I7), (I7-J7)/ABS(J7))),5)</f>
        <v>1</v>
      </c>
    </row>
    <row r="8" spans="1:13" x14ac:dyDescent="0.25">
      <c r="A8" s="77"/>
      <c r="B8" s="77"/>
      <c r="C8" s="77"/>
      <c r="D8" s="77"/>
      <c r="E8" s="77" t="s">
        <v>5</v>
      </c>
      <c r="F8" s="77"/>
      <c r="G8" s="77"/>
      <c r="H8" s="77"/>
      <c r="I8" s="51"/>
      <c r="J8" s="51"/>
      <c r="K8" s="51"/>
      <c r="L8" s="141"/>
    </row>
    <row r="9" spans="1:13" x14ac:dyDescent="0.25">
      <c r="A9" s="77"/>
      <c r="B9" s="77"/>
      <c r="C9" s="77"/>
      <c r="D9" s="77"/>
      <c r="E9" s="77"/>
      <c r="F9" s="77" t="s">
        <v>7826</v>
      </c>
      <c r="G9" s="77"/>
      <c r="H9" s="77"/>
      <c r="I9" s="51">
        <v>6335</v>
      </c>
      <c r="J9" s="51">
        <v>0</v>
      </c>
      <c r="K9" s="51">
        <f>ROUND((I9-J9),5)</f>
        <v>6335</v>
      </c>
      <c r="L9" s="141">
        <f>ROUND(IF(I9=0, IF(J9=0, 0, SIGN(-J9)), IF(J9=0, SIGN(I9), (I9-J9)/ABS(J9))),5)</f>
        <v>1</v>
      </c>
    </row>
    <row r="10" spans="1:13" x14ac:dyDescent="0.25">
      <c r="A10" s="77"/>
      <c r="B10" s="77"/>
      <c r="C10" s="77"/>
      <c r="D10" s="77"/>
      <c r="E10" s="77"/>
      <c r="F10" s="77" t="s">
        <v>6</v>
      </c>
      <c r="G10" s="77"/>
      <c r="H10" s="77"/>
      <c r="I10" s="51">
        <v>0</v>
      </c>
      <c r="J10" s="51">
        <v>55100</v>
      </c>
      <c r="K10" s="51">
        <f>ROUND((I10-J10),5)</f>
        <v>-55100</v>
      </c>
      <c r="L10" s="141">
        <f>ROUND(IF(I10=0, IF(J10=0, 0, SIGN(-J10)), IF(J10=0, SIGN(I10), (I10-J10)/ABS(J10))),5)</f>
        <v>-1</v>
      </c>
    </row>
    <row r="11" spans="1:13" x14ac:dyDescent="0.25">
      <c r="A11" s="77"/>
      <c r="B11" s="77"/>
      <c r="C11" s="77"/>
      <c r="D11" s="77"/>
      <c r="E11" s="77"/>
      <c r="F11" s="77" t="s">
        <v>7477</v>
      </c>
      <c r="G11" s="77"/>
      <c r="H11" s="77"/>
      <c r="I11" s="51">
        <v>270323.53000000003</v>
      </c>
      <c r="J11" s="51">
        <v>0</v>
      </c>
      <c r="K11" s="51">
        <f>ROUND((I11-J11),5)</f>
        <v>270323.53000000003</v>
      </c>
      <c r="L11" s="141">
        <f>ROUND(IF(I11=0, IF(J11=0, 0, SIGN(-J11)), IF(J11=0, SIGN(I11), (I11-J11)/ABS(J11))),5)</f>
        <v>1</v>
      </c>
    </row>
    <row r="12" spans="1:13" x14ac:dyDescent="0.25">
      <c r="A12" s="77"/>
      <c r="B12" s="77"/>
      <c r="C12" s="77"/>
      <c r="D12" s="77"/>
      <c r="E12" s="77"/>
      <c r="F12" s="77" t="s">
        <v>5224</v>
      </c>
      <c r="G12" s="77"/>
      <c r="H12" s="77"/>
      <c r="I12" s="51">
        <v>3500</v>
      </c>
      <c r="J12" s="51">
        <v>58650.28</v>
      </c>
      <c r="K12" s="51">
        <f>ROUND((I12-J12),5)</f>
        <v>-55150.28</v>
      </c>
      <c r="L12" s="141">
        <f>ROUND(IF(I12=0, IF(J12=0, 0, SIGN(-J12)), IF(J12=0, SIGN(I12), (I12-J12)/ABS(J12))),5)</f>
        <v>-0.94032000000000004</v>
      </c>
    </row>
    <row r="13" spans="1:13" x14ac:dyDescent="0.25">
      <c r="A13" s="77"/>
      <c r="B13" s="77"/>
      <c r="C13" s="77"/>
      <c r="D13" s="77"/>
      <c r="E13" s="77"/>
      <c r="F13" s="77" t="s">
        <v>7</v>
      </c>
      <c r="G13" s="77"/>
      <c r="H13" s="77"/>
      <c r="I13" s="51">
        <v>76793.75</v>
      </c>
      <c r="J13" s="51">
        <v>7730.7</v>
      </c>
      <c r="K13" s="51">
        <f>ROUND((I13-J13),5)</f>
        <v>69063.05</v>
      </c>
      <c r="L13" s="141">
        <f>ROUND(IF(I13=0, IF(J13=0, 0, SIGN(-J13)), IF(J13=0, SIGN(I13), (I13-J13)/ABS(J13))),5)</f>
        <v>8.9336099999999998</v>
      </c>
    </row>
    <row r="14" spans="1:13" ht="15.75" thickBot="1" x14ac:dyDescent="0.3">
      <c r="A14" s="77"/>
      <c r="B14" s="77"/>
      <c r="C14" s="77"/>
      <c r="D14" s="77"/>
      <c r="E14" s="77"/>
      <c r="F14" s="77" t="s">
        <v>7814</v>
      </c>
      <c r="G14" s="77"/>
      <c r="H14" s="77"/>
      <c r="I14" s="52">
        <v>22615.15</v>
      </c>
      <c r="J14" s="52">
        <v>0</v>
      </c>
      <c r="K14" s="52">
        <f>ROUND((I14-J14),5)</f>
        <v>22615.15</v>
      </c>
      <c r="L14" s="143">
        <f>ROUND(IF(I14=0, IF(J14=0, 0, SIGN(-J14)), IF(J14=0, SIGN(I14), (I14-J14)/ABS(J14))),5)</f>
        <v>1</v>
      </c>
    </row>
    <row r="15" spans="1:13" x14ac:dyDescent="0.25">
      <c r="A15" s="77"/>
      <c r="B15" s="77"/>
      <c r="C15" s="77"/>
      <c r="D15" s="77"/>
      <c r="E15" s="77" t="s">
        <v>8</v>
      </c>
      <c r="F15" s="77"/>
      <c r="G15" s="77"/>
      <c r="H15" s="77"/>
      <c r="I15" s="51">
        <f>ROUND(SUM(I8:I14),5)</f>
        <v>379567.43</v>
      </c>
      <c r="J15" s="51">
        <f>ROUND(SUM(J8:J14),5)</f>
        <v>121480.98</v>
      </c>
      <c r="K15" s="51">
        <f>ROUND((I15-J15),5)</f>
        <v>258086.45</v>
      </c>
      <c r="L15" s="141">
        <f>ROUND(IF(I15=0, IF(J15=0, 0, SIGN(-J15)), IF(J15=0, SIGN(I15), (I15-J15)/ABS(J15))),5)</f>
        <v>2.1244999999999998</v>
      </c>
    </row>
    <row r="16" spans="1:13" x14ac:dyDescent="0.25">
      <c r="A16" s="77"/>
      <c r="B16" s="77"/>
      <c r="C16" s="77"/>
      <c r="D16" s="77"/>
      <c r="E16" s="77" t="s">
        <v>9</v>
      </c>
      <c r="F16" s="77"/>
      <c r="G16" s="77"/>
      <c r="H16" s="77"/>
      <c r="I16" s="51"/>
      <c r="J16" s="51"/>
      <c r="K16" s="51"/>
      <c r="L16" s="141"/>
    </row>
    <row r="17" spans="1:12" x14ac:dyDescent="0.25">
      <c r="A17" s="77"/>
      <c r="B17" s="77"/>
      <c r="C17" s="77"/>
      <c r="D17" s="77"/>
      <c r="E17" s="77"/>
      <c r="F17" s="77" t="s">
        <v>10</v>
      </c>
      <c r="G17" s="77"/>
      <c r="H17" s="77"/>
      <c r="I17" s="51">
        <v>267566.96999999997</v>
      </c>
      <c r="J17" s="51">
        <v>168300</v>
      </c>
      <c r="K17" s="51">
        <f>ROUND((I17-J17),5)</f>
        <v>99266.97</v>
      </c>
      <c r="L17" s="141">
        <f>ROUND(IF(I17=0, IF(J17=0, 0, SIGN(-J17)), IF(J17=0, SIGN(I17), (I17-J17)/ABS(J17))),5)</f>
        <v>0.58982000000000001</v>
      </c>
    </row>
    <row r="18" spans="1:12" x14ac:dyDescent="0.25">
      <c r="A18" s="77"/>
      <c r="B18" s="77"/>
      <c r="C18" s="77"/>
      <c r="D18" s="77"/>
      <c r="E18" s="77"/>
      <c r="F18" s="77" t="s">
        <v>7797</v>
      </c>
      <c r="G18" s="77"/>
      <c r="H18" s="77"/>
      <c r="I18" s="51">
        <v>500</v>
      </c>
      <c r="J18" s="51">
        <v>0</v>
      </c>
      <c r="K18" s="51">
        <f>ROUND((I18-J18),5)</f>
        <v>500</v>
      </c>
      <c r="L18" s="141">
        <f>ROUND(IF(I18=0, IF(J18=0, 0, SIGN(-J18)), IF(J18=0, SIGN(I18), (I18-J18)/ABS(J18))),5)</f>
        <v>1</v>
      </c>
    </row>
    <row r="19" spans="1:12" ht="15.75" thickBot="1" x14ac:dyDescent="0.3">
      <c r="A19" s="77"/>
      <c r="B19" s="77"/>
      <c r="C19" s="77"/>
      <c r="D19" s="77"/>
      <c r="E19" s="77"/>
      <c r="F19" s="77" t="s">
        <v>11</v>
      </c>
      <c r="G19" s="77"/>
      <c r="H19" s="77"/>
      <c r="I19" s="52">
        <v>138496.19</v>
      </c>
      <c r="J19" s="52">
        <v>147716</v>
      </c>
      <c r="K19" s="52">
        <f>ROUND((I19-J19),5)</f>
        <v>-9219.81</v>
      </c>
      <c r="L19" s="143">
        <f>ROUND(IF(I19=0, IF(J19=0, 0, SIGN(-J19)), IF(J19=0, SIGN(I19), (I19-J19)/ABS(J19))),5)</f>
        <v>-6.2420000000000003E-2</v>
      </c>
    </row>
    <row r="20" spans="1:12" x14ac:dyDescent="0.25">
      <c r="A20" s="77"/>
      <c r="B20" s="77"/>
      <c r="C20" s="77"/>
      <c r="D20" s="77"/>
      <c r="E20" s="77" t="s">
        <v>12</v>
      </c>
      <c r="F20" s="77"/>
      <c r="G20" s="77"/>
      <c r="H20" s="77"/>
      <c r="I20" s="51">
        <f>ROUND(SUM(I16:I19),5)</f>
        <v>406563.16</v>
      </c>
      <c r="J20" s="51">
        <f>ROUND(SUM(J16:J19),5)</f>
        <v>316016</v>
      </c>
      <c r="K20" s="51">
        <f>ROUND((I20-J20),5)</f>
        <v>90547.16</v>
      </c>
      <c r="L20" s="141">
        <f>ROUND(IF(I20=0, IF(J20=0, 0, SIGN(-J20)), IF(J20=0, SIGN(I20), (I20-J20)/ABS(J20))),5)</f>
        <v>0.28653000000000001</v>
      </c>
    </row>
    <row r="21" spans="1:12" x14ac:dyDescent="0.25">
      <c r="A21" s="77"/>
      <c r="B21" s="77"/>
      <c r="C21" s="77"/>
      <c r="D21" s="77"/>
      <c r="E21" s="77" t="s">
        <v>7480</v>
      </c>
      <c r="F21" s="77"/>
      <c r="G21" s="77"/>
      <c r="H21" s="77"/>
      <c r="I21" s="51"/>
      <c r="J21" s="51"/>
      <c r="K21" s="51"/>
      <c r="L21" s="141"/>
    </row>
    <row r="22" spans="1:12" x14ac:dyDescent="0.25">
      <c r="A22" s="77"/>
      <c r="B22" s="77"/>
      <c r="C22" s="77"/>
      <c r="D22" s="77"/>
      <c r="E22" s="77"/>
      <c r="F22" s="77" t="s">
        <v>7479</v>
      </c>
      <c r="G22" s="77"/>
      <c r="H22" s="77"/>
      <c r="I22" s="51"/>
      <c r="J22" s="51"/>
      <c r="K22" s="51"/>
      <c r="L22" s="141"/>
    </row>
    <row r="23" spans="1:12" x14ac:dyDescent="0.25">
      <c r="A23" s="77"/>
      <c r="B23" s="77"/>
      <c r="C23" s="77"/>
      <c r="D23" s="77"/>
      <c r="E23" s="77"/>
      <c r="F23" s="77"/>
      <c r="G23" s="77" t="s">
        <v>7478</v>
      </c>
      <c r="H23" s="77"/>
      <c r="I23" s="51"/>
      <c r="J23" s="51"/>
      <c r="K23" s="51"/>
      <c r="L23" s="141"/>
    </row>
    <row r="24" spans="1:12" ht="15.75" thickBot="1" x14ac:dyDescent="0.3">
      <c r="A24" s="77"/>
      <c r="B24" s="77"/>
      <c r="C24" s="77"/>
      <c r="D24" s="77"/>
      <c r="E24" s="77"/>
      <c r="F24" s="77"/>
      <c r="G24" s="77"/>
      <c r="H24" s="77" t="s">
        <v>7477</v>
      </c>
      <c r="I24" s="51">
        <v>0</v>
      </c>
      <c r="J24" s="51">
        <v>5000</v>
      </c>
      <c r="K24" s="51">
        <f>ROUND((I24-J24),5)</f>
        <v>-5000</v>
      </c>
      <c r="L24" s="141">
        <f>ROUND(IF(I24=0, IF(J24=0, 0, SIGN(-J24)), IF(J24=0, SIGN(I24), (I24-J24)/ABS(J24))),5)</f>
        <v>-1</v>
      </c>
    </row>
    <row r="25" spans="1:12" ht="15.75" thickBot="1" x14ac:dyDescent="0.3">
      <c r="A25" s="77"/>
      <c r="B25" s="77"/>
      <c r="C25" s="77"/>
      <c r="D25" s="77"/>
      <c r="E25" s="77"/>
      <c r="F25" s="77"/>
      <c r="G25" s="77" t="s">
        <v>7476</v>
      </c>
      <c r="H25" s="77"/>
      <c r="I25" s="89">
        <f>ROUND(SUM(I23:I24),5)</f>
        <v>0</v>
      </c>
      <c r="J25" s="89">
        <f>ROUND(SUM(J23:J24),5)</f>
        <v>5000</v>
      </c>
      <c r="K25" s="89">
        <f>ROUND((I25-J25),5)</f>
        <v>-5000</v>
      </c>
      <c r="L25" s="140">
        <f>ROUND(IF(I25=0, IF(J25=0, 0, SIGN(-J25)), IF(J25=0, SIGN(I25), (I25-J25)/ABS(J25))),5)</f>
        <v>-1</v>
      </c>
    </row>
    <row r="26" spans="1:12" ht="15.75" thickBot="1" x14ac:dyDescent="0.3">
      <c r="A26" s="77"/>
      <c r="B26" s="77"/>
      <c r="C26" s="77"/>
      <c r="D26" s="77"/>
      <c r="E26" s="77"/>
      <c r="F26" s="77" t="s">
        <v>7475</v>
      </c>
      <c r="G26" s="77"/>
      <c r="H26" s="77"/>
      <c r="I26" s="54">
        <f>ROUND(I22+I25,5)</f>
        <v>0</v>
      </c>
      <c r="J26" s="54">
        <f>ROUND(J22+J25,5)</f>
        <v>5000</v>
      </c>
      <c r="K26" s="54">
        <f>ROUND((I26-J26),5)</f>
        <v>-5000</v>
      </c>
      <c r="L26" s="142">
        <f>ROUND(IF(I26=0, IF(J26=0, 0, SIGN(-J26)), IF(J26=0, SIGN(I26), (I26-J26)/ABS(J26))),5)</f>
        <v>-1</v>
      </c>
    </row>
    <row r="27" spans="1:12" x14ac:dyDescent="0.25">
      <c r="A27" s="77"/>
      <c r="B27" s="77"/>
      <c r="C27" s="77"/>
      <c r="D27" s="77"/>
      <c r="E27" s="77" t="s">
        <v>7474</v>
      </c>
      <c r="F27" s="77"/>
      <c r="G27" s="77"/>
      <c r="H27" s="77"/>
      <c r="I27" s="51">
        <f>ROUND(I21+I26,5)</f>
        <v>0</v>
      </c>
      <c r="J27" s="51">
        <f>ROUND(J21+J26,5)</f>
        <v>5000</v>
      </c>
      <c r="K27" s="51">
        <f>ROUND((I27-J27),5)</f>
        <v>-5000</v>
      </c>
      <c r="L27" s="141">
        <f>ROUND(IF(I27=0, IF(J27=0, 0, SIGN(-J27)), IF(J27=0, SIGN(I27), (I27-J27)/ABS(J27))),5)</f>
        <v>-1</v>
      </c>
    </row>
    <row r="28" spans="1:12" x14ac:dyDescent="0.25">
      <c r="A28" s="77"/>
      <c r="B28" s="77"/>
      <c r="C28" s="77"/>
      <c r="D28" s="77"/>
      <c r="E28" s="77" t="s">
        <v>228</v>
      </c>
      <c r="F28" s="77"/>
      <c r="G28" s="77"/>
      <c r="H28" s="77"/>
      <c r="I28" s="51"/>
      <c r="J28" s="51"/>
      <c r="K28" s="51"/>
      <c r="L28" s="141"/>
    </row>
    <row r="29" spans="1:12" ht="15.75" thickBot="1" x14ac:dyDescent="0.3">
      <c r="A29" s="77"/>
      <c r="B29" s="77"/>
      <c r="C29" s="77"/>
      <c r="D29" s="77"/>
      <c r="E29" s="77"/>
      <c r="F29" s="77" t="s">
        <v>7473</v>
      </c>
      <c r="G29" s="77"/>
      <c r="H29" s="77"/>
      <c r="I29" s="52">
        <v>398.95</v>
      </c>
      <c r="J29" s="52">
        <v>273.92</v>
      </c>
      <c r="K29" s="52">
        <f>ROUND((I29-J29),5)</f>
        <v>125.03</v>
      </c>
      <c r="L29" s="143">
        <f>ROUND(IF(I29=0, IF(J29=0, 0, SIGN(-J29)), IF(J29=0, SIGN(I29), (I29-J29)/ABS(J29))),5)</f>
        <v>0.45645000000000002</v>
      </c>
    </row>
    <row r="30" spans="1:12" x14ac:dyDescent="0.25">
      <c r="A30" s="77"/>
      <c r="B30" s="77"/>
      <c r="C30" s="77"/>
      <c r="D30" s="77"/>
      <c r="E30" s="77" t="s">
        <v>7472</v>
      </c>
      <c r="F30" s="77"/>
      <c r="G30" s="77"/>
      <c r="H30" s="77"/>
      <c r="I30" s="51">
        <f>ROUND(SUM(I28:I29),5)</f>
        <v>398.95</v>
      </c>
      <c r="J30" s="51">
        <f>ROUND(SUM(J28:J29),5)</f>
        <v>273.92</v>
      </c>
      <c r="K30" s="51">
        <f>ROUND((I30-J30),5)</f>
        <v>125.03</v>
      </c>
      <c r="L30" s="141">
        <f>ROUND(IF(I30=0, IF(J30=0, 0, SIGN(-J30)), IF(J30=0, SIGN(I30), (I30-J30)/ABS(J30))),5)</f>
        <v>0.45645000000000002</v>
      </c>
    </row>
    <row r="31" spans="1:12" x14ac:dyDescent="0.25">
      <c r="A31" s="77"/>
      <c r="B31" s="77"/>
      <c r="C31" s="77"/>
      <c r="D31" s="77"/>
      <c r="E31" s="77" t="s">
        <v>13</v>
      </c>
      <c r="F31" s="77"/>
      <c r="G31" s="77"/>
      <c r="H31" s="77"/>
      <c r="I31" s="51"/>
      <c r="J31" s="51"/>
      <c r="K31" s="51"/>
      <c r="L31" s="141"/>
    </row>
    <row r="32" spans="1:12" x14ac:dyDescent="0.25">
      <c r="A32" s="77"/>
      <c r="B32" s="77"/>
      <c r="C32" s="77"/>
      <c r="D32" s="77"/>
      <c r="E32" s="77"/>
      <c r="F32" s="77" t="s">
        <v>14</v>
      </c>
      <c r="G32" s="77"/>
      <c r="H32" s="77"/>
      <c r="I32" s="51">
        <v>4203.6099999999997</v>
      </c>
      <c r="J32" s="51">
        <v>20111.23</v>
      </c>
      <c r="K32" s="51">
        <f>ROUND((I32-J32),5)</f>
        <v>-15907.62</v>
      </c>
      <c r="L32" s="141">
        <f>ROUND(IF(I32=0, IF(J32=0, 0, SIGN(-J32)), IF(J32=0, SIGN(I32), (I32-J32)/ABS(J32))),5)</f>
        <v>-0.79098000000000002</v>
      </c>
    </row>
    <row r="33" spans="1:12" x14ac:dyDescent="0.25">
      <c r="A33" s="77"/>
      <c r="B33" s="77"/>
      <c r="C33" s="77"/>
      <c r="D33" s="77"/>
      <c r="E33" s="77"/>
      <c r="F33" s="77" t="s">
        <v>7471</v>
      </c>
      <c r="G33" s="77"/>
      <c r="H33" s="77"/>
      <c r="I33" s="51">
        <v>1539.72</v>
      </c>
      <c r="J33" s="51">
        <v>7522.5</v>
      </c>
      <c r="K33" s="51">
        <f>ROUND((I33-J33),5)</f>
        <v>-5982.78</v>
      </c>
      <c r="L33" s="141">
        <f>ROUND(IF(I33=0, IF(J33=0, 0, SIGN(-J33)), IF(J33=0, SIGN(I33), (I33-J33)/ABS(J33))),5)</f>
        <v>-0.79532000000000003</v>
      </c>
    </row>
    <row r="34" spans="1:12" ht="15.75" thickBot="1" x14ac:dyDescent="0.3">
      <c r="A34" s="77"/>
      <c r="B34" s="77"/>
      <c r="C34" s="77"/>
      <c r="D34" s="77"/>
      <c r="E34" s="77"/>
      <c r="F34" s="77" t="s">
        <v>15</v>
      </c>
      <c r="G34" s="77"/>
      <c r="H34" s="77"/>
      <c r="I34" s="52">
        <v>6186.32</v>
      </c>
      <c r="J34" s="52">
        <v>6465.62</v>
      </c>
      <c r="K34" s="52">
        <f>ROUND((I34-J34),5)</f>
        <v>-279.3</v>
      </c>
      <c r="L34" s="143">
        <f>ROUND(IF(I34=0, IF(J34=0, 0, SIGN(-J34)), IF(J34=0, SIGN(I34), (I34-J34)/ABS(J34))),5)</f>
        <v>-4.3200000000000002E-2</v>
      </c>
    </row>
    <row r="35" spans="1:12" x14ac:dyDescent="0.25">
      <c r="A35" s="77"/>
      <c r="B35" s="77"/>
      <c r="C35" s="77"/>
      <c r="D35" s="77"/>
      <c r="E35" s="77" t="s">
        <v>16</v>
      </c>
      <c r="F35" s="77"/>
      <c r="G35" s="77"/>
      <c r="H35" s="77"/>
      <c r="I35" s="51">
        <f>ROUND(SUM(I31:I34),5)</f>
        <v>11929.65</v>
      </c>
      <c r="J35" s="51">
        <f>ROUND(SUM(J31:J34),5)</f>
        <v>34099.35</v>
      </c>
      <c r="K35" s="51">
        <f>ROUND((I35-J35),5)</f>
        <v>-22169.7</v>
      </c>
      <c r="L35" s="141">
        <f>ROUND(IF(I35=0, IF(J35=0, 0, SIGN(-J35)), IF(J35=0, SIGN(I35), (I35-J35)/ABS(J35))),5)</f>
        <v>-0.65015000000000001</v>
      </c>
    </row>
    <row r="36" spans="1:12" x14ac:dyDescent="0.25">
      <c r="A36" s="77"/>
      <c r="B36" s="77"/>
      <c r="C36" s="77"/>
      <c r="D36" s="77"/>
      <c r="E36" s="77" t="s">
        <v>7528</v>
      </c>
      <c r="F36" s="77"/>
      <c r="G36" s="77"/>
      <c r="H36" s="77"/>
      <c r="I36" s="51"/>
      <c r="J36" s="51"/>
      <c r="K36" s="51"/>
      <c r="L36" s="141"/>
    </row>
    <row r="37" spans="1:12" ht="15.75" thickBot="1" x14ac:dyDescent="0.3">
      <c r="A37" s="77"/>
      <c r="B37" s="77"/>
      <c r="C37" s="77"/>
      <c r="D37" s="77"/>
      <c r="E37" s="77"/>
      <c r="F37" s="77" t="s">
        <v>7529</v>
      </c>
      <c r="G37" s="77"/>
      <c r="H37" s="77"/>
      <c r="I37" s="52">
        <v>0</v>
      </c>
      <c r="J37" s="52">
        <v>706.95</v>
      </c>
      <c r="K37" s="52">
        <f>ROUND((I37-J37),5)</f>
        <v>-706.95</v>
      </c>
      <c r="L37" s="143">
        <f>ROUND(IF(I37=0, IF(J37=0, 0, SIGN(-J37)), IF(J37=0, SIGN(I37), (I37-J37)/ABS(J37))),5)</f>
        <v>-1</v>
      </c>
    </row>
    <row r="38" spans="1:12" x14ac:dyDescent="0.25">
      <c r="A38" s="77"/>
      <c r="B38" s="77"/>
      <c r="C38" s="77"/>
      <c r="D38" s="77"/>
      <c r="E38" s="77" t="s">
        <v>7530</v>
      </c>
      <c r="F38" s="77"/>
      <c r="G38" s="77"/>
      <c r="H38" s="77"/>
      <c r="I38" s="51">
        <f>ROUND(SUM(I36:I37),5)</f>
        <v>0</v>
      </c>
      <c r="J38" s="51">
        <f>ROUND(SUM(J36:J37),5)</f>
        <v>706.95</v>
      </c>
      <c r="K38" s="51">
        <f>ROUND((I38-J38),5)</f>
        <v>-706.95</v>
      </c>
      <c r="L38" s="141">
        <f>ROUND(IF(I38=0, IF(J38=0, 0, SIGN(-J38)), IF(J38=0, SIGN(I38), (I38-J38)/ABS(J38))),5)</f>
        <v>-1</v>
      </c>
    </row>
    <row r="39" spans="1:12" x14ac:dyDescent="0.25">
      <c r="A39" s="77"/>
      <c r="B39" s="77"/>
      <c r="C39" s="77"/>
      <c r="D39" s="77"/>
      <c r="E39" s="77" t="s">
        <v>7433</v>
      </c>
      <c r="F39" s="77"/>
      <c r="G39" s="77"/>
      <c r="H39" s="77"/>
      <c r="I39" s="51"/>
      <c r="J39" s="51"/>
      <c r="K39" s="51"/>
      <c r="L39" s="141"/>
    </row>
    <row r="40" spans="1:12" ht="15.75" thickBot="1" x14ac:dyDescent="0.3">
      <c r="A40" s="77"/>
      <c r="B40" s="77"/>
      <c r="C40" s="77"/>
      <c r="D40" s="77"/>
      <c r="E40" s="77"/>
      <c r="F40" s="77" t="s">
        <v>13</v>
      </c>
      <c r="G40" s="77"/>
      <c r="H40" s="77"/>
      <c r="I40" s="51">
        <v>0</v>
      </c>
      <c r="J40" s="51">
        <v>15000</v>
      </c>
      <c r="K40" s="51">
        <f>ROUND((I40-J40),5)</f>
        <v>-15000</v>
      </c>
      <c r="L40" s="141">
        <f>ROUND(IF(I40=0, IF(J40=0, 0, SIGN(-J40)), IF(J40=0, SIGN(I40), (I40-J40)/ABS(J40))),5)</f>
        <v>-1</v>
      </c>
    </row>
    <row r="41" spans="1:12" ht="15.75" thickBot="1" x14ac:dyDescent="0.3">
      <c r="A41" s="77"/>
      <c r="B41" s="77"/>
      <c r="C41" s="77"/>
      <c r="D41" s="77"/>
      <c r="E41" s="77" t="s">
        <v>7434</v>
      </c>
      <c r="F41" s="77"/>
      <c r="G41" s="77"/>
      <c r="H41" s="77"/>
      <c r="I41" s="89">
        <f>ROUND(SUM(I39:I40),5)</f>
        <v>0</v>
      </c>
      <c r="J41" s="89">
        <f>ROUND(SUM(J39:J40),5)</f>
        <v>15000</v>
      </c>
      <c r="K41" s="89">
        <f>ROUND((I41-J41),5)</f>
        <v>-15000</v>
      </c>
      <c r="L41" s="140">
        <f>ROUND(IF(I41=0, IF(J41=0, 0, SIGN(-J41)), IF(J41=0, SIGN(I41), (I41-J41)/ABS(J41))),5)</f>
        <v>-1</v>
      </c>
    </row>
    <row r="42" spans="1:12" ht="15.75" thickBot="1" x14ac:dyDescent="0.3">
      <c r="A42" s="77"/>
      <c r="B42" s="77"/>
      <c r="C42" s="77"/>
      <c r="D42" s="77" t="s">
        <v>17</v>
      </c>
      <c r="E42" s="77"/>
      <c r="F42" s="77"/>
      <c r="G42" s="77"/>
      <c r="H42" s="77"/>
      <c r="I42" s="54">
        <f>ROUND(SUM(I4:I7)+I15+I20+I27+I30+I35+I38+I41,5)</f>
        <v>809460.29</v>
      </c>
      <c r="J42" s="54">
        <f>ROUND(SUM(J4:J7)+J15+J20+J27+J30+J35+J38+J41,5)</f>
        <v>492578.3</v>
      </c>
      <c r="K42" s="54">
        <f>ROUND((I42-J42),5)</f>
        <v>316881.99</v>
      </c>
      <c r="L42" s="142">
        <f>ROUND(IF(I42=0, IF(J42=0, 0, SIGN(-J42)), IF(J42=0, SIGN(I42), (I42-J42)/ABS(J42))),5)</f>
        <v>0.64331000000000005</v>
      </c>
    </row>
    <row r="43" spans="1:12" x14ac:dyDescent="0.25">
      <c r="A43" s="77"/>
      <c r="B43" s="77"/>
      <c r="C43" s="77" t="s">
        <v>18</v>
      </c>
      <c r="D43" s="77"/>
      <c r="E43" s="77"/>
      <c r="F43" s="77"/>
      <c r="G43" s="77"/>
      <c r="H43" s="77"/>
      <c r="I43" s="51">
        <f>I42</f>
        <v>809460.29</v>
      </c>
      <c r="J43" s="51">
        <f>J42</f>
        <v>492578.3</v>
      </c>
      <c r="K43" s="51">
        <f>ROUND((I43-J43),5)</f>
        <v>316881.99</v>
      </c>
      <c r="L43" s="141">
        <f>ROUND(IF(I43=0, IF(J43=0, 0, SIGN(-J43)), IF(J43=0, SIGN(I43), (I43-J43)/ABS(J43))),5)</f>
        <v>0.64331000000000005</v>
      </c>
    </row>
    <row r="44" spans="1:12" x14ac:dyDescent="0.25">
      <c r="A44" s="77"/>
      <c r="B44" s="77"/>
      <c r="C44" s="77"/>
      <c r="D44" s="77" t="s">
        <v>19</v>
      </c>
      <c r="E44" s="77"/>
      <c r="F44" s="77"/>
      <c r="G44" s="77"/>
      <c r="H44" s="77"/>
      <c r="I44" s="51"/>
      <c r="J44" s="51"/>
      <c r="K44" s="51"/>
      <c r="L44" s="141"/>
    </row>
    <row r="45" spans="1:12" x14ac:dyDescent="0.25">
      <c r="A45" s="77"/>
      <c r="B45" s="77"/>
      <c r="C45" s="77"/>
      <c r="D45" s="77"/>
      <c r="E45" s="77" t="s">
        <v>7501</v>
      </c>
      <c r="F45" s="77"/>
      <c r="G45" s="77"/>
      <c r="H45" s="77"/>
      <c r="I45" s="51"/>
      <c r="J45" s="51"/>
      <c r="K45" s="51"/>
      <c r="L45" s="141"/>
    </row>
    <row r="46" spans="1:12" s="2" customFormat="1" ht="11.25" x14ac:dyDescent="0.2">
      <c r="A46" s="77"/>
      <c r="B46" s="77"/>
      <c r="C46" s="77"/>
      <c r="D46" s="77"/>
      <c r="E46" s="77"/>
      <c r="F46" s="77" t="s">
        <v>7815</v>
      </c>
      <c r="G46" s="77"/>
      <c r="H46" s="77"/>
      <c r="I46" s="51">
        <v>16943.34</v>
      </c>
      <c r="J46" s="51">
        <v>0</v>
      </c>
      <c r="K46" s="51">
        <f>ROUND((I46-J46),5)</f>
        <v>16943.34</v>
      </c>
      <c r="L46" s="141">
        <f>ROUND(IF(I46=0, IF(J46=0, 0, SIGN(-J46)), IF(J46=0, SIGN(I46), (I46-J46)/ABS(J46))),5)</f>
        <v>1</v>
      </c>
    </row>
    <row r="47" spans="1:12" x14ac:dyDescent="0.25">
      <c r="A47" s="77"/>
      <c r="B47" s="77"/>
      <c r="C47" s="77"/>
      <c r="D47" s="77"/>
      <c r="E47" s="77"/>
      <c r="F47" s="77" t="s">
        <v>1611</v>
      </c>
      <c r="G47" s="77"/>
      <c r="H47" s="77"/>
      <c r="I47" s="51">
        <v>3975</v>
      </c>
      <c r="J47" s="51">
        <v>0</v>
      </c>
      <c r="K47" s="51">
        <f>ROUND((I47-J47),5)</f>
        <v>3975</v>
      </c>
      <c r="L47" s="141">
        <f>ROUND(IF(I47=0, IF(J47=0, 0, SIGN(-J47)), IF(J47=0, SIGN(I47), (I47-J47)/ABS(J47))),5)</f>
        <v>1</v>
      </c>
    </row>
    <row r="48" spans="1:12" x14ac:dyDescent="0.25">
      <c r="A48" s="77"/>
      <c r="B48" s="77"/>
      <c r="C48" s="77"/>
      <c r="D48" s="77"/>
      <c r="E48" s="77"/>
      <c r="F48" s="77" t="s">
        <v>7813</v>
      </c>
      <c r="G48" s="77"/>
      <c r="H48" s="77"/>
      <c r="I48" s="51">
        <v>4054.5</v>
      </c>
      <c r="J48" s="51">
        <v>0</v>
      </c>
      <c r="K48" s="51">
        <f>ROUND((I48-J48),5)</f>
        <v>4054.5</v>
      </c>
      <c r="L48" s="141">
        <f>ROUND(IF(I48=0, IF(J48=0, 0, SIGN(-J48)), IF(J48=0, SIGN(I48), (I48-J48)/ABS(J48))),5)</f>
        <v>1</v>
      </c>
    </row>
    <row r="49" spans="1:12" ht="15.75" thickBot="1" x14ac:dyDescent="0.3">
      <c r="A49" s="77"/>
      <c r="B49" s="77"/>
      <c r="C49" s="77"/>
      <c r="D49" s="77"/>
      <c r="E49" s="77"/>
      <c r="F49" s="77" t="s">
        <v>7502</v>
      </c>
      <c r="G49" s="77"/>
      <c r="H49" s="77"/>
      <c r="I49" s="52">
        <v>0</v>
      </c>
      <c r="J49" s="52">
        <v>26709.4</v>
      </c>
      <c r="K49" s="52">
        <f>ROUND((I49-J49),5)</f>
        <v>-26709.4</v>
      </c>
      <c r="L49" s="143">
        <f>ROUND(IF(I49=0, IF(J49=0, 0, SIGN(-J49)), IF(J49=0, SIGN(I49), (I49-J49)/ABS(J49))),5)</f>
        <v>-1</v>
      </c>
    </row>
    <row r="50" spans="1:12" x14ac:dyDescent="0.25">
      <c r="A50" s="77"/>
      <c r="B50" s="77"/>
      <c r="C50" s="77"/>
      <c r="D50" s="77"/>
      <c r="E50" s="77" t="s">
        <v>7503</v>
      </c>
      <c r="F50" s="77"/>
      <c r="G50" s="77"/>
      <c r="H50" s="77"/>
      <c r="I50" s="51">
        <f>ROUND(SUM(I45:I49),5)</f>
        <v>24972.84</v>
      </c>
      <c r="J50" s="51">
        <f>ROUND(SUM(J45:J49),5)</f>
        <v>26709.4</v>
      </c>
      <c r="K50" s="51">
        <f>ROUND((I50-J50),5)</f>
        <v>-1736.56</v>
      </c>
      <c r="L50" s="141">
        <f>ROUND(IF(I50=0, IF(J50=0, 0, SIGN(-J50)), IF(J50=0, SIGN(I50), (I50-J50)/ABS(J50))),5)</f>
        <v>-6.5019999999999994E-2</v>
      </c>
    </row>
    <row r="51" spans="1:12" x14ac:dyDescent="0.25">
      <c r="A51" s="77"/>
      <c r="B51" s="77"/>
      <c r="C51" s="77"/>
      <c r="D51" s="77"/>
      <c r="E51" s="77" t="s">
        <v>20</v>
      </c>
      <c r="F51" s="77"/>
      <c r="G51" s="77"/>
      <c r="H51" s="77"/>
      <c r="I51" s="51"/>
      <c r="J51" s="51"/>
      <c r="K51" s="51"/>
      <c r="L51" s="141"/>
    </row>
    <row r="52" spans="1:12" x14ac:dyDescent="0.25">
      <c r="A52" s="77"/>
      <c r="B52" s="77"/>
      <c r="C52" s="77"/>
      <c r="D52" s="77"/>
      <c r="E52" s="77"/>
      <c r="F52" s="77" t="s">
        <v>7827</v>
      </c>
      <c r="G52" s="77"/>
      <c r="H52" s="77"/>
      <c r="I52" s="51">
        <v>2868.61</v>
      </c>
      <c r="J52" s="51">
        <v>0</v>
      </c>
      <c r="K52" s="51">
        <f>ROUND((I52-J52),5)</f>
        <v>2868.61</v>
      </c>
      <c r="L52" s="141">
        <f>ROUND(IF(I52=0, IF(J52=0, 0, SIGN(-J52)), IF(J52=0, SIGN(I52), (I52-J52)/ABS(J52))),5)</f>
        <v>1</v>
      </c>
    </row>
    <row r="53" spans="1:12" x14ac:dyDescent="0.25">
      <c r="A53" s="77"/>
      <c r="B53" s="77"/>
      <c r="C53" s="77"/>
      <c r="D53" s="77"/>
      <c r="E53" s="77"/>
      <c r="F53" s="77" t="s">
        <v>21</v>
      </c>
      <c r="G53" s="77"/>
      <c r="H53" s="77"/>
      <c r="I53" s="51">
        <v>610.95000000000005</v>
      </c>
      <c r="J53" s="51">
        <v>292</v>
      </c>
      <c r="K53" s="51">
        <f>ROUND((I53-J53),5)</f>
        <v>318.95</v>
      </c>
      <c r="L53" s="141">
        <f>ROUND(IF(I53=0, IF(J53=0, 0, SIGN(-J53)), IF(J53=0, SIGN(I53), (I53-J53)/ABS(J53))),5)</f>
        <v>1.09229</v>
      </c>
    </row>
    <row r="54" spans="1:12" x14ac:dyDescent="0.25">
      <c r="A54" s="77"/>
      <c r="B54" s="77"/>
      <c r="C54" s="77"/>
      <c r="D54" s="77"/>
      <c r="E54" s="77"/>
      <c r="F54" s="77" t="s">
        <v>22</v>
      </c>
      <c r="G54" s="77"/>
      <c r="H54" s="77"/>
      <c r="I54" s="51">
        <v>21319.51</v>
      </c>
      <c r="J54" s="51">
        <v>14934.82</v>
      </c>
      <c r="K54" s="51">
        <f>ROUND((I54-J54),5)</f>
        <v>6384.69</v>
      </c>
      <c r="L54" s="141">
        <f>ROUND(IF(I54=0, IF(J54=0, 0, SIGN(-J54)), IF(J54=0, SIGN(I54), (I54-J54)/ABS(J54))),5)</f>
        <v>0.42749999999999999</v>
      </c>
    </row>
    <row r="55" spans="1:12" x14ac:dyDescent="0.25">
      <c r="A55" s="77"/>
      <c r="B55" s="77"/>
      <c r="C55" s="77"/>
      <c r="D55" s="77"/>
      <c r="E55" s="77"/>
      <c r="F55" s="77" t="s">
        <v>23</v>
      </c>
      <c r="G55" s="77"/>
      <c r="H55" s="77"/>
      <c r="I55" s="51">
        <v>500</v>
      </c>
      <c r="J55" s="51">
        <v>216.75</v>
      </c>
      <c r="K55" s="51">
        <f>ROUND((I55-J55),5)</f>
        <v>283.25</v>
      </c>
      <c r="L55" s="141">
        <f>ROUND(IF(I55=0, IF(J55=0, 0, SIGN(-J55)), IF(J55=0, SIGN(I55), (I55-J55)/ABS(J55))),5)</f>
        <v>1.30681</v>
      </c>
    </row>
    <row r="56" spans="1:12" x14ac:dyDescent="0.25">
      <c r="A56" s="77"/>
      <c r="B56" s="77"/>
      <c r="C56" s="77"/>
      <c r="D56" s="77"/>
      <c r="E56" s="77"/>
      <c r="F56" s="77" t="s">
        <v>24</v>
      </c>
      <c r="G56" s="77"/>
      <c r="H56" s="77"/>
      <c r="I56" s="51">
        <v>2295</v>
      </c>
      <c r="J56" s="51">
        <v>2405.27</v>
      </c>
      <c r="K56" s="51">
        <f>ROUND((I56-J56),5)</f>
        <v>-110.27</v>
      </c>
      <c r="L56" s="141">
        <f>ROUND(IF(I56=0, IF(J56=0, 0, SIGN(-J56)), IF(J56=0, SIGN(I56), (I56-J56)/ABS(J56))),5)</f>
        <v>-4.5850000000000002E-2</v>
      </c>
    </row>
    <row r="57" spans="1:12" x14ac:dyDescent="0.25">
      <c r="A57" s="77"/>
      <c r="B57" s="77"/>
      <c r="C57" s="77"/>
      <c r="D57" s="77"/>
      <c r="E57" s="77"/>
      <c r="F57" s="77" t="s">
        <v>25</v>
      </c>
      <c r="G57" s="77"/>
      <c r="H57" s="77"/>
      <c r="I57" s="51"/>
      <c r="J57" s="51"/>
      <c r="K57" s="51"/>
      <c r="L57" s="141"/>
    </row>
    <row r="58" spans="1:12" x14ac:dyDescent="0.25">
      <c r="A58" s="77"/>
      <c r="B58" s="77"/>
      <c r="C58" s="77"/>
      <c r="D58" s="77"/>
      <c r="E58" s="77"/>
      <c r="F58" s="77"/>
      <c r="G58" s="77" t="s">
        <v>26</v>
      </c>
      <c r="H58" s="77"/>
      <c r="I58" s="51">
        <v>3204.48</v>
      </c>
      <c r="J58" s="51">
        <v>2567.79</v>
      </c>
      <c r="K58" s="51">
        <f>ROUND((I58-J58),5)</f>
        <v>636.69000000000005</v>
      </c>
      <c r="L58" s="141">
        <f>ROUND(IF(I58=0, IF(J58=0, 0, SIGN(-J58)), IF(J58=0, SIGN(I58), (I58-J58)/ABS(J58))),5)</f>
        <v>0.24795</v>
      </c>
    </row>
    <row r="59" spans="1:12" x14ac:dyDescent="0.25">
      <c r="A59" s="77"/>
      <c r="B59" s="77"/>
      <c r="C59" s="77"/>
      <c r="D59" s="77"/>
      <c r="E59" s="77"/>
      <c r="F59" s="77"/>
      <c r="G59" s="77" t="s">
        <v>7525</v>
      </c>
      <c r="H59" s="77"/>
      <c r="I59" s="51">
        <v>1250.75</v>
      </c>
      <c r="J59" s="51">
        <v>715.42</v>
      </c>
      <c r="K59" s="51">
        <f>ROUND((I59-J59),5)</f>
        <v>535.33000000000004</v>
      </c>
      <c r="L59" s="141">
        <f>ROUND(IF(I59=0, IF(J59=0, 0, SIGN(-J59)), IF(J59=0, SIGN(I59), (I59-J59)/ABS(J59))),5)</f>
        <v>0.74826999999999999</v>
      </c>
    </row>
    <row r="60" spans="1:12" ht="15.75" thickBot="1" x14ac:dyDescent="0.3">
      <c r="A60" s="77"/>
      <c r="B60" s="77"/>
      <c r="C60" s="77"/>
      <c r="D60" s="77"/>
      <c r="E60" s="77"/>
      <c r="F60" s="77"/>
      <c r="G60" s="77" t="s">
        <v>7521</v>
      </c>
      <c r="H60" s="77"/>
      <c r="I60" s="52">
        <v>0</v>
      </c>
      <c r="J60" s="52">
        <v>658</v>
      </c>
      <c r="K60" s="52">
        <f>ROUND((I60-J60),5)</f>
        <v>-658</v>
      </c>
      <c r="L60" s="143">
        <f>ROUND(IF(I60=0, IF(J60=0, 0, SIGN(-J60)), IF(J60=0, SIGN(I60), (I60-J60)/ABS(J60))),5)</f>
        <v>-1</v>
      </c>
    </row>
    <row r="61" spans="1:12" x14ac:dyDescent="0.25">
      <c r="A61" s="77"/>
      <c r="B61" s="77"/>
      <c r="C61" s="77"/>
      <c r="D61" s="77"/>
      <c r="E61" s="77"/>
      <c r="F61" s="77" t="s">
        <v>27</v>
      </c>
      <c r="G61" s="77"/>
      <c r="H61" s="77"/>
      <c r="I61" s="51">
        <f>ROUND(SUM(I57:I60),5)</f>
        <v>4455.2299999999996</v>
      </c>
      <c r="J61" s="51">
        <f>ROUND(SUM(J57:J60),5)</f>
        <v>3941.21</v>
      </c>
      <c r="K61" s="51">
        <f>ROUND((I61-J61),5)</f>
        <v>514.02</v>
      </c>
      <c r="L61" s="141">
        <f>ROUND(IF(I61=0, IF(J61=0, 0, SIGN(-J61)), IF(J61=0, SIGN(I61), (I61-J61)/ABS(J61))),5)</f>
        <v>0.13042000000000001</v>
      </c>
    </row>
    <row r="62" spans="1:12" x14ac:dyDescent="0.25">
      <c r="A62" s="77"/>
      <c r="B62" s="77"/>
      <c r="C62" s="77"/>
      <c r="D62" s="77"/>
      <c r="E62" s="77"/>
      <c r="F62" s="77" t="s">
        <v>7435</v>
      </c>
      <c r="G62" s="77"/>
      <c r="H62" s="77"/>
      <c r="I62" s="51">
        <v>181</v>
      </c>
      <c r="J62" s="51">
        <v>3727</v>
      </c>
      <c r="K62" s="51">
        <f>ROUND((I62-J62),5)</f>
        <v>-3546</v>
      </c>
      <c r="L62" s="141">
        <f>ROUND(IF(I62=0, IF(J62=0, 0, SIGN(-J62)), IF(J62=0, SIGN(I62), (I62-J62)/ABS(J62))),5)</f>
        <v>-0.95143999999999995</v>
      </c>
    </row>
    <row r="63" spans="1:12" x14ac:dyDescent="0.25">
      <c r="A63" s="77"/>
      <c r="B63" s="77"/>
      <c r="C63" s="77"/>
      <c r="D63" s="77"/>
      <c r="E63" s="77"/>
      <c r="F63" s="77" t="s">
        <v>28</v>
      </c>
      <c r="G63" s="77"/>
      <c r="H63" s="77"/>
      <c r="I63" s="51">
        <v>2610.1799999999998</v>
      </c>
      <c r="J63" s="51">
        <v>1179.58</v>
      </c>
      <c r="K63" s="51">
        <f>ROUND((I63-J63),5)</f>
        <v>1430.6</v>
      </c>
      <c r="L63" s="141">
        <f>ROUND(IF(I63=0, IF(J63=0, 0, SIGN(-J63)), IF(J63=0, SIGN(I63), (I63-J63)/ABS(J63))),5)</f>
        <v>1.2128000000000001</v>
      </c>
    </row>
    <row r="64" spans="1:12" x14ac:dyDescent="0.25">
      <c r="A64" s="77"/>
      <c r="B64" s="77"/>
      <c r="C64" s="77"/>
      <c r="D64" s="77"/>
      <c r="E64" s="77"/>
      <c r="F64" s="77" t="s">
        <v>7436</v>
      </c>
      <c r="G64" s="77"/>
      <c r="H64" s="77"/>
      <c r="I64" s="51">
        <v>1567.48</v>
      </c>
      <c r="J64" s="51">
        <v>1627</v>
      </c>
      <c r="K64" s="51">
        <f>ROUND((I64-J64),5)</f>
        <v>-59.52</v>
      </c>
      <c r="L64" s="141">
        <f>ROUND(IF(I64=0, IF(J64=0, 0, SIGN(-J64)), IF(J64=0, SIGN(I64), (I64-J64)/ABS(J64))),5)</f>
        <v>-3.6580000000000001E-2</v>
      </c>
    </row>
    <row r="65" spans="1:19" x14ac:dyDescent="0.25">
      <c r="A65" s="77"/>
      <c r="B65" s="77"/>
      <c r="C65" s="77"/>
      <c r="D65" s="77"/>
      <c r="E65" s="77"/>
      <c r="F65" s="77" t="s">
        <v>236</v>
      </c>
      <c r="G65" s="77"/>
      <c r="H65" s="77"/>
      <c r="I65" s="51">
        <v>0</v>
      </c>
      <c r="J65" s="51">
        <v>120.87</v>
      </c>
      <c r="K65" s="51">
        <f>ROUND((I65-J65),5)</f>
        <v>-120.87</v>
      </c>
      <c r="L65" s="141">
        <f>ROUND(IF(I65=0, IF(J65=0, 0, SIGN(-J65)), IF(J65=0, SIGN(I65), (I65-J65)/ABS(J65))),5)</f>
        <v>-1</v>
      </c>
    </row>
    <row r="66" spans="1:19" x14ac:dyDescent="0.25">
      <c r="A66" s="77"/>
      <c r="B66" s="77"/>
      <c r="C66" s="77"/>
      <c r="D66" s="77"/>
      <c r="E66" s="77"/>
      <c r="F66" s="77" t="s">
        <v>7468</v>
      </c>
      <c r="G66" s="77"/>
      <c r="H66" s="77"/>
      <c r="I66" s="51">
        <v>0</v>
      </c>
      <c r="J66" s="51">
        <v>57.17</v>
      </c>
      <c r="K66" s="51">
        <f>ROUND((I66-J66),5)</f>
        <v>-57.17</v>
      </c>
      <c r="L66" s="141">
        <f>ROUND(IF(I66=0, IF(J66=0, 0, SIGN(-J66)), IF(J66=0, SIGN(I66), (I66-J66)/ABS(J66))),5)</f>
        <v>-1</v>
      </c>
    </row>
    <row r="67" spans="1:19" x14ac:dyDescent="0.25">
      <c r="A67" s="77"/>
      <c r="B67" s="77"/>
      <c r="C67" s="77"/>
      <c r="D67" s="77"/>
      <c r="E67" s="77"/>
      <c r="F67" s="77" t="s">
        <v>29</v>
      </c>
      <c r="G67" s="77"/>
      <c r="H67" s="77"/>
      <c r="I67" s="51"/>
      <c r="J67" s="51"/>
      <c r="K67" s="51"/>
      <c r="L67" s="141"/>
    </row>
    <row r="68" spans="1:19" x14ac:dyDescent="0.25">
      <c r="A68" s="77"/>
      <c r="B68" s="77"/>
      <c r="C68" s="77"/>
      <c r="D68" s="77"/>
      <c r="E68" s="77"/>
      <c r="F68" s="77"/>
      <c r="G68" s="77" t="s">
        <v>30</v>
      </c>
      <c r="H68" s="77"/>
      <c r="I68" s="51">
        <v>11382.67</v>
      </c>
      <c r="J68" s="51">
        <v>38.880000000000003</v>
      </c>
      <c r="K68" s="51">
        <f>ROUND((I68-J68),5)</f>
        <v>11343.79</v>
      </c>
      <c r="L68" s="141">
        <f>ROUND(IF(I68=0, IF(J68=0, 0, SIGN(-J68)), IF(J68=0, SIGN(I68), (I68-J68)/ABS(J68))),5)</f>
        <v>291.76414999999997</v>
      </c>
      <c r="O68" s="75" t="s">
        <v>7798</v>
      </c>
      <c r="Q68" s="58">
        <v>0.22231677883718848</v>
      </c>
      <c r="R68" s="43">
        <f>$I$83*Q68</f>
        <v>89291.422210557794</v>
      </c>
      <c r="S68" s="43"/>
    </row>
    <row r="69" spans="1:19" x14ac:dyDescent="0.25">
      <c r="A69" s="77"/>
      <c r="B69" s="77"/>
      <c r="C69" s="77"/>
      <c r="D69" s="77"/>
      <c r="E69" s="77"/>
      <c r="F69" s="77"/>
      <c r="G69" s="77" t="s">
        <v>7467</v>
      </c>
      <c r="H69" s="77"/>
      <c r="I69" s="51">
        <v>836.3</v>
      </c>
      <c r="J69" s="51">
        <v>15866.77</v>
      </c>
      <c r="K69" s="51">
        <f>ROUND((I69-J69),5)</f>
        <v>-15030.47</v>
      </c>
      <c r="L69" s="141">
        <f>ROUND(IF(I69=0, IF(J69=0, 0, SIGN(-J69)), IF(J69=0, SIGN(I69), (I69-J69)/ABS(J69))),5)</f>
        <v>-0.94728999999999997</v>
      </c>
      <c r="O69" s="75" t="s">
        <v>7460</v>
      </c>
      <c r="Q69" s="58">
        <v>0.22384322220756409</v>
      </c>
      <c r="R69" s="43">
        <f t="shared" ref="R69:R75" si="0">$I$83*Q69</f>
        <v>89904.50368905715</v>
      </c>
      <c r="S69" s="43"/>
    </row>
    <row r="70" spans="1:19" ht="15.75" thickBot="1" x14ac:dyDescent="0.3">
      <c r="A70" s="77"/>
      <c r="B70" s="77"/>
      <c r="C70" s="77"/>
      <c r="D70" s="77"/>
      <c r="E70" s="77"/>
      <c r="F70" s="77"/>
      <c r="G70" s="77" t="s">
        <v>7713</v>
      </c>
      <c r="H70" s="77"/>
      <c r="I70" s="52">
        <v>62.13</v>
      </c>
      <c r="J70" s="52">
        <v>0</v>
      </c>
      <c r="K70" s="52">
        <f>ROUND((I70-J70),5)</f>
        <v>62.13</v>
      </c>
      <c r="L70" s="143">
        <f>ROUND(IF(I70=0, IF(J70=0, 0, SIGN(-J70)), IF(J70=0, SIGN(I70), (I70-J70)/ABS(J70))),5)</f>
        <v>1</v>
      </c>
      <c r="O70" s="75" t="s">
        <v>232</v>
      </c>
      <c r="Q70" s="58">
        <v>9.865101792954134E-2</v>
      </c>
      <c r="R70" s="43">
        <f t="shared" si="0"/>
        <v>39622.24416672995</v>
      </c>
      <c r="S70" s="43"/>
    </row>
    <row r="71" spans="1:19" x14ac:dyDescent="0.25">
      <c r="A71" s="77"/>
      <c r="B71" s="77"/>
      <c r="C71" s="77"/>
      <c r="D71" s="77"/>
      <c r="E71" s="77"/>
      <c r="F71" s="77" t="s">
        <v>31</v>
      </c>
      <c r="G71" s="77"/>
      <c r="H71" s="77"/>
      <c r="I71" s="51">
        <f>ROUND(SUM(I67:I70),5)</f>
        <v>12281.1</v>
      </c>
      <c r="J71" s="51">
        <f>ROUND(SUM(J67:J70),5)</f>
        <v>15905.65</v>
      </c>
      <c r="K71" s="51">
        <f>ROUND((I71-J71),5)</f>
        <v>-3624.55</v>
      </c>
      <c r="L71" s="141">
        <f>ROUND(IF(I71=0, IF(J71=0, 0, SIGN(-J71)), IF(J71=0, SIGN(I71), (I71-J71)/ABS(J71))),5)</f>
        <v>-0.22788</v>
      </c>
      <c r="O71" s="75" t="s">
        <v>7462</v>
      </c>
      <c r="Q71" s="58">
        <v>8.1190914499728761E-2</v>
      </c>
      <c r="R71" s="43">
        <f t="shared" si="0"/>
        <v>32609.559495128309</v>
      </c>
      <c r="S71" s="43"/>
    </row>
    <row r="72" spans="1:19" ht="15.75" thickBot="1" x14ac:dyDescent="0.3">
      <c r="A72" s="77"/>
      <c r="B72" s="77"/>
      <c r="C72" s="77"/>
      <c r="D72" s="77"/>
      <c r="E72" s="77"/>
      <c r="F72" s="77" t="s">
        <v>7466</v>
      </c>
      <c r="G72" s="77"/>
      <c r="H72" s="77"/>
      <c r="I72" s="52">
        <v>254.27</v>
      </c>
      <c r="J72" s="52">
        <v>9654.9699999999993</v>
      </c>
      <c r="K72" s="52">
        <f>ROUND((I72-J72),5)</f>
        <v>-9400.7000000000007</v>
      </c>
      <c r="L72" s="143">
        <f>ROUND(IF(I72=0, IF(J72=0, 0, SIGN(-J72)), IF(J72=0, SIGN(I72), (I72-J72)/ABS(J72))),5)</f>
        <v>-0.97365999999999997</v>
      </c>
      <c r="O72" s="75" t="s">
        <v>231</v>
      </c>
      <c r="Q72" s="58">
        <v>5.5607492361867197E-2</v>
      </c>
      <c r="R72" s="43">
        <f t="shared" si="0"/>
        <v>22334.221035966522</v>
      </c>
      <c r="S72" s="43"/>
    </row>
    <row r="73" spans="1:19" x14ac:dyDescent="0.25">
      <c r="A73" s="77"/>
      <c r="B73" s="77"/>
      <c r="C73" s="77"/>
      <c r="D73" s="77"/>
      <c r="E73" s="77" t="s">
        <v>32</v>
      </c>
      <c r="F73" s="77"/>
      <c r="G73" s="77"/>
      <c r="H73" s="77"/>
      <c r="I73" s="51">
        <f>ROUND(SUM(I51:I56)+SUM(I61:I66)+SUM(I71:I72),5)</f>
        <v>48943.33</v>
      </c>
      <c r="J73" s="51">
        <f>ROUND(SUM(J51:J56)+SUM(J61:J66)+SUM(J71:J72),5)</f>
        <v>54062.29</v>
      </c>
      <c r="K73" s="51">
        <f>ROUND((I73-J73),5)</f>
        <v>-5118.96</v>
      </c>
      <c r="L73" s="141">
        <f>ROUND(IF(I73=0, IF(J73=0, 0, SIGN(-J73)), IF(J73=0, SIGN(I73), (I73-J73)/ABS(J73))),5)</f>
        <v>-9.4689999999999996E-2</v>
      </c>
      <c r="O73" s="75" t="s">
        <v>7463</v>
      </c>
      <c r="Q73" s="58">
        <v>6.75906395225154E-2</v>
      </c>
      <c r="R73" s="43">
        <f t="shared" si="0"/>
        <v>27147.138253142846</v>
      </c>
      <c r="S73" s="43"/>
    </row>
    <row r="74" spans="1:19" x14ac:dyDescent="0.25">
      <c r="A74" s="77"/>
      <c r="B74" s="77"/>
      <c r="C74" s="77"/>
      <c r="D74" s="77"/>
      <c r="E74" s="77" t="s">
        <v>33</v>
      </c>
      <c r="F74" s="77"/>
      <c r="G74" s="77"/>
      <c r="H74" s="77"/>
      <c r="I74" s="51">
        <f>36291.98+28548</f>
        <v>64839.98</v>
      </c>
      <c r="J74" s="51">
        <v>29180.55</v>
      </c>
      <c r="K74" s="51">
        <f>ROUND((I74-J74),5)</f>
        <v>35659.43</v>
      </c>
      <c r="L74" s="141">
        <f>ROUND(IF(I74=0, IF(J74=0, 0, SIGN(-J74)), IF(J74=0, SIGN(I74), (I74-J74)/ABS(J74))),5)</f>
        <v>1.2220299999999999</v>
      </c>
      <c r="O74" s="75" t="s">
        <v>7439</v>
      </c>
      <c r="Q74" s="58">
        <v>0.16651261284579766</v>
      </c>
      <c r="R74" s="43">
        <f t="shared" si="0"/>
        <v>66878.209079692591</v>
      </c>
      <c r="S74" s="43"/>
    </row>
    <row r="75" spans="1:19" x14ac:dyDescent="0.25">
      <c r="A75" s="77"/>
      <c r="B75" s="77"/>
      <c r="C75" s="77"/>
      <c r="D75" s="77"/>
      <c r="E75" s="77" t="s">
        <v>7465</v>
      </c>
      <c r="F75" s="77"/>
      <c r="G75" s="77"/>
      <c r="H75" s="77"/>
      <c r="I75" s="51">
        <f>1010+412.8</f>
        <v>1422.8</v>
      </c>
      <c r="J75" s="51">
        <v>2468</v>
      </c>
      <c r="K75" s="51">
        <f>ROUND((I75-J75),5)</f>
        <v>-1045.2</v>
      </c>
      <c r="L75" s="141">
        <f>ROUND(IF(I75=0, IF(J75=0, 0, SIGN(-J75)), IF(J75=0, SIGN(I75), (I75-J75)/ABS(J75))),5)</f>
        <v>-0.42349999999999999</v>
      </c>
      <c r="O75" s="75" t="s">
        <v>201</v>
      </c>
      <c r="Q75" s="58">
        <v>8.4287321795797204E-2</v>
      </c>
      <c r="R75" s="43">
        <f t="shared" si="0"/>
        <v>33853.202069724888</v>
      </c>
      <c r="S75" s="43"/>
    </row>
    <row r="76" spans="1:19" x14ac:dyDescent="0.25">
      <c r="A76" s="77"/>
      <c r="B76" s="77"/>
      <c r="C76" s="77"/>
      <c r="D76" s="77"/>
      <c r="E76" s="77" t="s">
        <v>36</v>
      </c>
      <c r="F76" s="77"/>
      <c r="G76" s="77"/>
      <c r="H76" s="77"/>
      <c r="I76" s="51">
        <v>13206.38</v>
      </c>
      <c r="J76" s="51">
        <v>5552.37</v>
      </c>
      <c r="K76" s="51">
        <f>ROUND((I76-J76),5)</f>
        <v>7654.01</v>
      </c>
      <c r="L76" s="141">
        <f>ROUND(IF(I76=0, IF(J76=0, 0, SIGN(-J76)), IF(J76=0, SIGN(I76), (I76-J76)/ABS(J76))),5)</f>
        <v>1.3785099999999999</v>
      </c>
      <c r="R76" s="43">
        <f>SUM(R68:R75)</f>
        <v>401640.50000000006</v>
      </c>
      <c r="S76" s="43"/>
    </row>
    <row r="77" spans="1:19" x14ac:dyDescent="0.25">
      <c r="A77" s="77"/>
      <c r="B77" s="77"/>
      <c r="C77" s="77"/>
      <c r="D77" s="77"/>
      <c r="E77" s="77" t="s">
        <v>7812</v>
      </c>
      <c r="F77" s="77"/>
      <c r="G77" s="77"/>
      <c r="H77" s="77"/>
      <c r="I77" s="51">
        <v>0.81</v>
      </c>
      <c r="J77" s="51">
        <v>0</v>
      </c>
      <c r="K77" s="51">
        <f>ROUND((I77-J77),5)</f>
        <v>0.81</v>
      </c>
      <c r="L77" s="141">
        <f>ROUND(IF(I77=0, IF(J77=0, 0, SIGN(-J77)), IF(J77=0, SIGN(I77), (I77-J77)/ABS(J77))),5)</f>
        <v>1</v>
      </c>
    </row>
    <row r="78" spans="1:19" x14ac:dyDescent="0.25">
      <c r="A78" s="77"/>
      <c r="B78" s="77"/>
      <c r="C78" s="77"/>
      <c r="D78" s="77"/>
      <c r="E78" s="77" t="s">
        <v>39</v>
      </c>
      <c r="F78" s="77"/>
      <c r="G78" s="77"/>
      <c r="H78" s="77"/>
      <c r="I78" s="51"/>
      <c r="J78" s="51"/>
      <c r="K78" s="51"/>
      <c r="L78" s="141"/>
    </row>
    <row r="79" spans="1:19" x14ac:dyDescent="0.25">
      <c r="A79" s="77"/>
      <c r="B79" s="77"/>
      <c r="C79" s="77"/>
      <c r="D79" s="77"/>
      <c r="E79" s="77"/>
      <c r="F79" s="77" t="s">
        <v>7464</v>
      </c>
      <c r="G79" s="77"/>
      <c r="H79" s="77"/>
      <c r="I79" s="51">
        <v>0</v>
      </c>
      <c r="J79" s="51">
        <v>5000</v>
      </c>
      <c r="K79" s="51">
        <f>ROUND((I79-J79),5)</f>
        <v>-5000</v>
      </c>
      <c r="L79" s="141">
        <f>ROUND(IF(I79=0, IF(J79=0, 0, SIGN(-J79)), IF(J79=0, SIGN(I79), (I79-J79)/ABS(J79))),5)</f>
        <v>-1</v>
      </c>
    </row>
    <row r="80" spans="1:19" x14ac:dyDescent="0.25">
      <c r="A80" s="77"/>
      <c r="B80" s="77"/>
      <c r="C80" s="77"/>
      <c r="D80" s="77"/>
      <c r="E80" s="77"/>
      <c r="F80" s="77" t="s">
        <v>40</v>
      </c>
      <c r="G80" s="77"/>
      <c r="H80" s="77"/>
      <c r="I80" s="51">
        <v>296277.96000000002</v>
      </c>
      <c r="J80" s="51">
        <v>283225.48</v>
      </c>
      <c r="K80" s="51">
        <f>ROUND((I80-J80),5)</f>
        <v>13052.48</v>
      </c>
      <c r="L80" s="141">
        <f>ROUND(IF(I80=0, IF(J80=0, 0, SIGN(-J80)), IF(J80=0, SIGN(I80), (I80-J80)/ABS(J80))),5)</f>
        <v>4.6089999999999999E-2</v>
      </c>
    </row>
    <row r="81" spans="1:15" x14ac:dyDescent="0.25">
      <c r="A81" s="77"/>
      <c r="B81" s="77"/>
      <c r="C81" s="77"/>
      <c r="D81" s="77"/>
      <c r="E81" s="77"/>
      <c r="F81" s="77" t="s">
        <v>7828</v>
      </c>
      <c r="G81" s="77"/>
      <c r="H81" s="77"/>
      <c r="I81" s="51">
        <v>61285.51</v>
      </c>
      <c r="J81" s="51">
        <v>98553.34</v>
      </c>
      <c r="K81" s="51">
        <f>ROUND((I81-J81),5)</f>
        <v>-37267.83</v>
      </c>
      <c r="L81" s="141">
        <f>ROUND(IF(I81=0, IF(J81=0, 0, SIGN(-J81)), IF(J81=0, SIGN(I81), (I81-J81)/ABS(J81))),5)</f>
        <v>-0.37814999999999999</v>
      </c>
    </row>
    <row r="82" spans="1:15" ht="15.75" thickBot="1" x14ac:dyDescent="0.3">
      <c r="A82" s="77"/>
      <c r="B82" s="77"/>
      <c r="C82" s="77"/>
      <c r="D82" s="77"/>
      <c r="E82" s="77"/>
      <c r="F82" s="77" t="s">
        <v>7829</v>
      </c>
      <c r="G82" s="77"/>
      <c r="H82" s="77"/>
      <c r="I82" s="52">
        <v>44077.03</v>
      </c>
      <c r="J82" s="52">
        <v>0</v>
      </c>
      <c r="K82" s="52">
        <f>ROUND((I82-J82),5)</f>
        <v>44077.03</v>
      </c>
      <c r="L82" s="143">
        <f>ROUND(IF(I82=0, IF(J82=0, 0, SIGN(-J82)), IF(J82=0, SIGN(I82), (I82-J82)/ABS(J82))),5)</f>
        <v>1</v>
      </c>
    </row>
    <row r="83" spans="1:15" s="96" customFormat="1" x14ac:dyDescent="0.25">
      <c r="A83" s="77"/>
      <c r="B83" s="77"/>
      <c r="C83" s="77"/>
      <c r="D83" s="77"/>
      <c r="E83" s="77" t="s">
        <v>42</v>
      </c>
      <c r="F83" s="77"/>
      <c r="G83" s="77"/>
      <c r="H83" s="77"/>
      <c r="I83" s="51">
        <f>ROUND(SUM(I78:I82),5)</f>
        <v>401640.5</v>
      </c>
      <c r="J83" s="51">
        <f>ROUND(SUM(J78:J82),5)</f>
        <v>386778.82</v>
      </c>
      <c r="K83" s="51">
        <f>ROUND((I83-J83),5)</f>
        <v>14861.68</v>
      </c>
      <c r="L83" s="141">
        <f>ROUND(IF(I83=0, IF(J83=0, 0, SIGN(-J83)), IF(J83=0, SIGN(I83), (I83-J83)/ABS(J83))),5)</f>
        <v>3.8420000000000003E-2</v>
      </c>
    </row>
    <row r="84" spans="1:15" s="96" customFormat="1" x14ac:dyDescent="0.25">
      <c r="A84" s="77"/>
      <c r="B84" s="77"/>
      <c r="C84" s="77"/>
      <c r="D84" s="77"/>
      <c r="E84" s="77" t="s">
        <v>43</v>
      </c>
      <c r="F84" s="77"/>
      <c r="G84" s="77"/>
      <c r="H84" s="77"/>
      <c r="I84" s="51"/>
      <c r="J84" s="51"/>
      <c r="K84" s="51"/>
      <c r="L84" s="141"/>
    </row>
    <row r="85" spans="1:15" s="96" customFormat="1" x14ac:dyDescent="0.25">
      <c r="A85" s="77"/>
      <c r="B85" s="77"/>
      <c r="C85" s="77"/>
      <c r="D85" s="77"/>
      <c r="E85" s="77"/>
      <c r="F85" s="77" t="s">
        <v>7712</v>
      </c>
      <c r="G85" s="77"/>
      <c r="H85" s="77"/>
      <c r="I85" s="51">
        <v>1942.43</v>
      </c>
      <c r="J85" s="51">
        <v>0</v>
      </c>
      <c r="K85" s="51">
        <f>ROUND((I85-J85),5)</f>
        <v>1942.43</v>
      </c>
      <c r="L85" s="141">
        <f>ROUND(IF(I85=0, IF(J85=0, 0, SIGN(-J85)), IF(J85=0, SIGN(I85), (I85-J85)/ABS(J85))),5)</f>
        <v>1</v>
      </c>
    </row>
    <row r="86" spans="1:15" s="96" customFormat="1" x14ac:dyDescent="0.25">
      <c r="A86" s="77"/>
      <c r="B86" s="77"/>
      <c r="C86" s="77"/>
      <c r="D86" s="77"/>
      <c r="E86" s="77"/>
      <c r="F86" s="77" t="s">
        <v>7437</v>
      </c>
      <c r="G86" s="77"/>
      <c r="H86" s="77"/>
      <c r="I86" s="51">
        <v>1210.69</v>
      </c>
      <c r="J86" s="51">
        <v>264.61</v>
      </c>
      <c r="K86" s="51">
        <f>ROUND((I86-J86),5)</f>
        <v>946.08</v>
      </c>
      <c r="L86" s="141">
        <f>ROUND(IF(I86=0, IF(J86=0, 0, SIGN(-J86)), IF(J86=0, SIGN(I86), (I86-J86)/ABS(J86))),5)</f>
        <v>3.57538</v>
      </c>
    </row>
    <row r="87" spans="1:15" s="96" customFormat="1" x14ac:dyDescent="0.25">
      <c r="A87" s="77"/>
      <c r="B87" s="77"/>
      <c r="C87" s="77"/>
      <c r="D87" s="77"/>
      <c r="E87" s="77"/>
      <c r="F87" s="77" t="s">
        <v>7438</v>
      </c>
      <c r="G87" s="77"/>
      <c r="H87" s="77"/>
      <c r="I87" s="51">
        <v>27846.78</v>
      </c>
      <c r="J87" s="51">
        <v>19508.919999999998</v>
      </c>
      <c r="K87" s="51">
        <f>ROUND((I87-J87),5)</f>
        <v>8337.86</v>
      </c>
      <c r="L87" s="141">
        <f>ROUND(IF(I87=0, IF(J87=0, 0, SIGN(-J87)), IF(J87=0, SIGN(I87), (I87-J87)/ABS(J87))),5)</f>
        <v>0.42738999999999999</v>
      </c>
    </row>
    <row r="88" spans="1:15" s="96" customFormat="1" x14ac:dyDescent="0.25">
      <c r="A88" s="77"/>
      <c r="B88" s="77"/>
      <c r="C88" s="77"/>
      <c r="D88" s="77"/>
      <c r="E88" s="77"/>
      <c r="F88" s="77" t="s">
        <v>44</v>
      </c>
      <c r="G88" s="77"/>
      <c r="H88" s="77"/>
      <c r="I88" s="51">
        <v>54000</v>
      </c>
      <c r="J88" s="51">
        <v>54000</v>
      </c>
      <c r="K88" s="51">
        <f>ROUND((I88-J88),5)</f>
        <v>0</v>
      </c>
      <c r="L88" s="141">
        <f>ROUND(IF(I88=0, IF(J88=0, 0, SIGN(-J88)), IF(J88=0, SIGN(I88), (I88-J88)/ABS(J88))),5)</f>
        <v>0</v>
      </c>
    </row>
    <row r="89" spans="1:15" ht="15.75" thickBot="1" x14ac:dyDescent="0.3">
      <c r="A89" s="77"/>
      <c r="B89" s="77"/>
      <c r="C89" s="77"/>
      <c r="D89" s="77"/>
      <c r="E89" s="77"/>
      <c r="F89" s="77" t="s">
        <v>7504</v>
      </c>
      <c r="G89" s="77"/>
      <c r="H89" s="77"/>
      <c r="I89" s="52">
        <v>0</v>
      </c>
      <c r="J89" s="52">
        <v>1344.78</v>
      </c>
      <c r="K89" s="52">
        <f>ROUND((I89-J89),5)</f>
        <v>-1344.78</v>
      </c>
      <c r="L89" s="143">
        <f>ROUND(IF(I89=0, IF(J89=0, 0, SIGN(-J89)), IF(J89=0, SIGN(I89), (I89-J89)/ABS(J89))),5)</f>
        <v>-1</v>
      </c>
    </row>
    <row r="90" spans="1:15" x14ac:dyDescent="0.25">
      <c r="A90" s="77"/>
      <c r="B90" s="77"/>
      <c r="C90" s="77"/>
      <c r="D90" s="77"/>
      <c r="E90" s="77" t="s">
        <v>45</v>
      </c>
      <c r="F90" s="77"/>
      <c r="G90" s="77"/>
      <c r="H90" s="77"/>
      <c r="I90" s="51">
        <f>ROUND(SUM(I84:I89),5)</f>
        <v>84999.9</v>
      </c>
      <c r="J90" s="51">
        <f>ROUND(SUM(J84:J89),5)</f>
        <v>75118.31</v>
      </c>
      <c r="K90" s="51">
        <f>ROUND((I90-J90),5)</f>
        <v>9881.59</v>
      </c>
      <c r="L90" s="141">
        <f>ROUND(IF(I90=0, IF(J90=0, 0, SIGN(-J90)), IF(J90=0, SIGN(I90), (I90-J90)/ABS(J90))),5)</f>
        <v>0.13155</v>
      </c>
    </row>
    <row r="91" spans="1:15" ht="15.75" thickBot="1" x14ac:dyDescent="0.3">
      <c r="A91" s="77"/>
      <c r="B91" s="77"/>
      <c r="C91" s="77"/>
      <c r="D91" s="77"/>
      <c r="E91" s="77" t="s">
        <v>46</v>
      </c>
      <c r="F91" s="77"/>
      <c r="G91" s="77"/>
      <c r="H91" s="77"/>
      <c r="I91" s="51">
        <v>11516.1</v>
      </c>
      <c r="J91" s="51">
        <v>8112.5</v>
      </c>
      <c r="K91" s="51">
        <f>ROUND((I91-J91),5)</f>
        <v>3403.6</v>
      </c>
      <c r="L91" s="141">
        <f>ROUND(IF(I91=0, IF(J91=0, 0, SIGN(-J91)), IF(J91=0, SIGN(I91), (I91-J91)/ABS(J91))),5)</f>
        <v>0.41954999999999998</v>
      </c>
      <c r="O91" s="43">
        <f>I90+I73+R74</f>
        <v>200821.43907969259</v>
      </c>
    </row>
    <row r="92" spans="1:15" ht="15.75" thickBot="1" x14ac:dyDescent="0.3">
      <c r="A92" s="77"/>
      <c r="B92" s="77"/>
      <c r="C92" s="77"/>
      <c r="D92" s="77" t="s">
        <v>47</v>
      </c>
      <c r="E92" s="77"/>
      <c r="F92" s="77"/>
      <c r="G92" s="77"/>
      <c r="H92" s="77"/>
      <c r="I92" s="54">
        <f>ROUND(I44+I50+SUM(I73:I77)+I83+SUM(I90:I91),5)</f>
        <v>651542.64</v>
      </c>
      <c r="J92" s="54">
        <f>ROUND(J44+J50+SUM(J73:J77)+J83+SUM(J90:J91),5)</f>
        <v>587982.24</v>
      </c>
      <c r="K92" s="54">
        <f>ROUND((I92-J92),5)</f>
        <v>63560.4</v>
      </c>
      <c r="L92" s="142">
        <f>ROUND(IF(I92=0, IF(J92=0, 0, SIGN(-J92)), IF(J92=0, SIGN(I92), (I92-J92)/ABS(J92))),5)</f>
        <v>0.1081</v>
      </c>
    </row>
    <row r="93" spans="1:15" x14ac:dyDescent="0.25">
      <c r="A93" s="77"/>
      <c r="B93" s="77" t="s">
        <v>48</v>
      </c>
      <c r="C93" s="77"/>
      <c r="D93" s="77"/>
      <c r="E93" s="77"/>
      <c r="F93" s="77"/>
      <c r="G93" s="77"/>
      <c r="H93" s="77"/>
      <c r="I93" s="51">
        <f>ROUND(I3+I43-I92,5)</f>
        <v>157917.65</v>
      </c>
      <c r="J93" s="51">
        <f>ROUND(J3+J43-J92,5)</f>
        <v>-95403.94</v>
      </c>
      <c r="K93" s="51">
        <f>ROUND((I93-J93),5)</f>
        <v>253321.59</v>
      </c>
      <c r="L93" s="141">
        <f>ROUND(IF(I93=0, IF(J93=0, 0, SIGN(-J93)), IF(J93=0, SIGN(I93), (I93-J93)/ABS(J93))),5)</f>
        <v>2.6552500000000001</v>
      </c>
    </row>
    <row r="94" spans="1:15" s="96" customFormat="1" x14ac:dyDescent="0.25">
      <c r="A94" s="94"/>
      <c r="B94" s="94"/>
      <c r="C94" s="94"/>
      <c r="D94" s="94"/>
      <c r="E94" s="94"/>
      <c r="F94" s="94"/>
      <c r="G94" s="94"/>
      <c r="H94" s="94"/>
      <c r="I94" s="53"/>
      <c r="J94" s="53"/>
      <c r="K94" s="53"/>
      <c r="L94" s="155"/>
    </row>
    <row r="95" spans="1:15" s="96" customFormat="1" x14ac:dyDescent="0.25">
      <c r="A95" s="94"/>
      <c r="B95" s="94"/>
      <c r="C95" s="94"/>
      <c r="D95" s="94"/>
      <c r="E95" s="94"/>
      <c r="F95" s="94"/>
      <c r="G95" s="94"/>
      <c r="H95" s="94"/>
      <c r="I95" s="53"/>
      <c r="J95" s="53"/>
      <c r="K95" s="53"/>
      <c r="L95" s="155"/>
    </row>
    <row r="96" spans="1:15" s="96" customFormat="1" x14ac:dyDescent="0.25">
      <c r="A96" s="94"/>
      <c r="B96" s="94"/>
      <c r="C96" s="94"/>
      <c r="D96" s="94"/>
      <c r="E96" s="94"/>
      <c r="F96" s="94"/>
      <c r="G96" s="94"/>
      <c r="H96" s="94"/>
      <c r="I96" s="53"/>
      <c r="J96" s="53"/>
      <c r="K96" s="53"/>
      <c r="L96" s="155"/>
    </row>
    <row r="97" spans="1:12" s="96" customFormat="1" x14ac:dyDescent="0.25">
      <c r="A97" s="94"/>
      <c r="B97" s="94"/>
      <c r="C97" s="94"/>
      <c r="D97" s="94"/>
      <c r="E97" s="94"/>
      <c r="F97" s="94"/>
      <c r="G97" s="94"/>
      <c r="H97" s="94"/>
      <c r="I97" s="53"/>
      <c r="J97" s="53"/>
      <c r="K97" s="53"/>
      <c r="L97" s="155"/>
    </row>
    <row r="98" spans="1:12" s="96" customFormat="1" x14ac:dyDescent="0.25">
      <c r="A98" s="94"/>
      <c r="B98" s="94"/>
      <c r="C98" s="94"/>
      <c r="D98" s="94"/>
      <c r="E98" s="94"/>
      <c r="F98" s="94"/>
      <c r="G98" s="94"/>
      <c r="H98" s="94"/>
      <c r="I98" s="53"/>
      <c r="J98" s="53"/>
      <c r="K98" s="53"/>
      <c r="L98" s="155"/>
    </row>
    <row r="99" spans="1:12" s="96" customFormat="1" x14ac:dyDescent="0.25">
      <c r="A99" s="94"/>
      <c r="B99" s="94"/>
      <c r="C99" s="94"/>
      <c r="D99" s="94"/>
      <c r="E99" s="94"/>
      <c r="F99" s="94"/>
      <c r="G99" s="94"/>
      <c r="H99" s="94"/>
      <c r="I99" s="73"/>
      <c r="J99" s="73"/>
      <c r="K99" s="73"/>
      <c r="L99" s="156"/>
    </row>
    <row r="100" spans="1:12" s="96" customFormat="1" x14ac:dyDescent="0.25">
      <c r="A100" s="95"/>
      <c r="B100" s="95"/>
      <c r="C100" s="95"/>
      <c r="D100" s="95"/>
      <c r="E100" s="95"/>
      <c r="F100" s="95"/>
      <c r="G100" s="95"/>
      <c r="H100" s="95"/>
    </row>
    <row r="101" spans="1:12" s="96" customFormat="1" x14ac:dyDescent="0.25">
      <c r="A101" s="95"/>
      <c r="B101" s="95"/>
      <c r="C101" s="95"/>
      <c r="D101" s="95"/>
      <c r="E101" s="95"/>
      <c r="F101" s="95"/>
      <c r="G101" s="95"/>
      <c r="H101" s="95"/>
    </row>
    <row r="102" spans="1:12" s="96" customFormat="1" x14ac:dyDescent="0.25">
      <c r="A102" s="95"/>
      <c r="B102" s="95"/>
      <c r="C102" s="95"/>
      <c r="D102" s="95"/>
      <c r="E102" s="95"/>
      <c r="F102" s="95"/>
      <c r="G102" s="95"/>
      <c r="H102" s="95"/>
    </row>
  </sheetData>
  <hyperlinks>
    <hyperlink ref="M2" location="Contents!A1" display="Contents" xr:uid="{1CD1CA9B-B691-4FCE-816F-AECAFF6D4A47}"/>
  </hyperlinks>
  <pageMargins left="0.7" right="0.7" top="0.75" bottom="0.75" header="0.3" footer="0.3"/>
  <pageSetup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7714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7713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7696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7712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7711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7710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7709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7708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7707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2"/>
  <sheetViews>
    <sheetView workbookViewId="0">
      <selection activeCell="K1" sqref="K1"/>
    </sheetView>
  </sheetViews>
  <sheetFormatPr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7871</v>
      </c>
      <c r="D1" s="37" t="s">
        <v>7802</v>
      </c>
      <c r="E1" s="38" t="s">
        <v>7872</v>
      </c>
      <c r="F1" s="38" t="s">
        <v>7872</v>
      </c>
      <c r="G1" s="146"/>
      <c r="H1" s="146"/>
      <c r="I1" s="146"/>
      <c r="J1" s="146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7803</v>
      </c>
      <c r="F2" s="38" t="s">
        <v>7805</v>
      </c>
      <c r="G2" s="38" t="s">
        <v>226</v>
      </c>
      <c r="H2" s="38" t="s">
        <v>7804</v>
      </c>
      <c r="I2" s="38" t="s">
        <v>7806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'June 22  vs June 21 P&amp;L'!H10+'June 22  vs June 21 P&amp;L'!H12</f>
        <v>284470.53000000003</v>
      </c>
      <c r="F5" s="42">
        <f>'FY 22 Approved Bud monthly '!L7+'FY 22 Approved Bud monthly '!L12+'FY 22 Approved Bud monthly '!L17+'FY 22 Approved Bud monthly '!L21</f>
        <v>322500</v>
      </c>
      <c r="G5" s="42">
        <f>E5-F5</f>
        <v>-38029.469999999972</v>
      </c>
      <c r="H5" s="42">
        <f>'YTD US Profit and Loss'!I15</f>
        <v>379567.43</v>
      </c>
      <c r="I5" s="42">
        <f>'FY 22 Approved Bud monthly '!T7+'FY 22 Approved Bud monthly '!T12+'FY 22 Approved Bud monthly '!T17+'FY 22 Approved Bud monthly '!T20+'FY 22 Approved Bud monthly '!T21</f>
        <v>355000</v>
      </c>
      <c r="J5" s="42">
        <f>H5-I5</f>
        <v>24567.429999999993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'June 22  vs June 21 P&amp;L'!H17</f>
        <v>71549.820000000007</v>
      </c>
      <c r="F6" s="42">
        <f>'FY 22 Approved Bud monthly '!L30+'FY 22 Approved Bud monthly '!L31</f>
        <v>45833.333333333328</v>
      </c>
      <c r="G6" s="42">
        <f t="shared" ref="G6:G10" si="0">E6-F6</f>
        <v>25716.486666666679</v>
      </c>
      <c r="H6" s="42">
        <f>'YTD US Profit and Loss'!I20</f>
        <v>406563.16</v>
      </c>
      <c r="I6" s="42">
        <f>'FY 22 Approved Bud monthly '!T30+'FY 22 Approved Bud monthly '!T31</f>
        <v>275000</v>
      </c>
      <c r="J6" s="42">
        <f t="shared" ref="J6:J10" si="1">H6-I6</f>
        <v>131563.15999999997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v>0</v>
      </c>
      <c r="F7" s="42">
        <v>0</v>
      </c>
      <c r="G7" s="42">
        <f t="shared" si="0"/>
        <v>0</v>
      </c>
      <c r="H7" s="42">
        <v>0</v>
      </c>
      <c r="I7" s="42"/>
      <c r="J7" s="42">
        <f t="shared" si="1"/>
        <v>0</v>
      </c>
      <c r="K7" s="44"/>
    </row>
    <row r="8" spans="1:15" ht="15.75" x14ac:dyDescent="0.25">
      <c r="A8" s="36"/>
      <c r="B8" s="36"/>
      <c r="C8" s="36"/>
      <c r="D8" s="36" t="s">
        <v>7841</v>
      </c>
      <c r="E8" s="42">
        <f>'June 22  vs June 21 P&amp;L'!H24+'June 22  vs June 21 P&amp;L'!H7</f>
        <v>10620.86</v>
      </c>
      <c r="F8" s="42">
        <f>'FY 22 Approved Bud monthly '!L33+'FY 22 Approved Bud monthly '!L34</f>
        <v>6666.666666666667</v>
      </c>
      <c r="G8" s="42">
        <f t="shared" si="0"/>
        <v>3954.1933333333336</v>
      </c>
      <c r="H8" s="42">
        <f>'YTD US Profit and Loss'!I7+'YTD US Profit and Loss'!I35</f>
        <v>21929.65</v>
      </c>
      <c r="I8" s="42">
        <f>'FY 22 Approved Bud monthly '!T24+'FY 22 Approved Bud monthly '!T33+'FY 22 Approved Bud monthly '!T34</f>
        <v>140000</v>
      </c>
      <c r="J8" s="42">
        <f t="shared" si="1"/>
        <v>-118070.35</v>
      </c>
      <c r="K8" s="44"/>
    </row>
    <row r="9" spans="1:15" ht="15.75" x14ac:dyDescent="0.25">
      <c r="A9" s="36"/>
      <c r="B9" s="36"/>
      <c r="C9" s="36"/>
      <c r="D9" s="36" t="s">
        <v>236</v>
      </c>
      <c r="E9" s="42">
        <f>'June 22  vs June 21 P&amp;L'!H20</f>
        <v>69.459999999999994</v>
      </c>
      <c r="F9" s="42">
        <f>'FY 22 Approved Bud monthly '!L35</f>
        <v>1000</v>
      </c>
      <c r="G9" s="42">
        <f t="shared" si="0"/>
        <v>-930.54</v>
      </c>
      <c r="H9" s="42">
        <f>'YTD US Profit and Loss'!I30</f>
        <v>398.95</v>
      </c>
      <c r="I9" s="42">
        <f>'FY 22 Approved Bud monthly '!T35</f>
        <v>2000</v>
      </c>
      <c r="J9" s="42">
        <f t="shared" si="1"/>
        <v>-1601.05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f>'June 22  vs June 21 P&amp;L'!H5</f>
        <v>1000</v>
      </c>
      <c r="F10" s="45">
        <f>'FY 22 Approved Bud monthly '!L36</f>
        <v>10000</v>
      </c>
      <c r="G10" s="45">
        <f t="shared" si="0"/>
        <v>-9000</v>
      </c>
      <c r="H10" s="45">
        <f>'YTD US Profit and Loss'!I5</f>
        <v>1000</v>
      </c>
      <c r="I10" s="45">
        <f>'FY 22 Approved Bud monthly '!T36</f>
        <v>20000</v>
      </c>
      <c r="J10" s="45">
        <f t="shared" si="1"/>
        <v>-19000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2">SUM(E5:E10)</f>
        <v>367710.67000000004</v>
      </c>
      <c r="F11" s="46">
        <f t="shared" si="2"/>
        <v>386000</v>
      </c>
      <c r="G11" s="46">
        <f t="shared" si="2"/>
        <v>-18289.329999999962</v>
      </c>
      <c r="H11" s="46">
        <f t="shared" si="2"/>
        <v>809459.19</v>
      </c>
      <c r="I11" s="46">
        <f t="shared" si="2"/>
        <v>792000</v>
      </c>
      <c r="J11" s="46">
        <f t="shared" si="2"/>
        <v>17459.189999999959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49" t="s">
        <v>230</v>
      </c>
      <c r="E13" s="42">
        <f>'June 22  vs June 21 P&amp;L'!P59+'June 22  vs June 21 P&amp;L'!H66</f>
        <v>16328.777774744551</v>
      </c>
      <c r="F13" s="42">
        <f>'FY 22 Approved Bud monthly '!L61+'FY 22 Approved Bud monthly '!L64+'FY 22 Approved Bud monthly '!L65</f>
        <v>21817.789199999999</v>
      </c>
      <c r="G13" s="42">
        <f>E13-F13</f>
        <v>-5489.0114252554486</v>
      </c>
      <c r="H13" s="42">
        <f>'YTD US Profit and Loss'!R69+'YTD US Profit and Loss'!I91</f>
        <v>101420.60368905716</v>
      </c>
      <c r="I13" s="42">
        <f>'FY 22 Approved Bud monthly '!T59+'FY 22 Approved Bud monthly '!T61+'FY 22 Approved Bud monthly '!T64+'FY 22 Approved Bud monthly '!T65</f>
        <v>220906.7352</v>
      </c>
      <c r="J13" s="42">
        <f t="shared" ref="J13:J20" si="3">H13-I13</f>
        <v>-119486.13151094284</v>
      </c>
      <c r="K13" s="44"/>
    </row>
    <row r="14" spans="1:15" ht="15.75" x14ac:dyDescent="0.25">
      <c r="A14" s="36"/>
      <c r="B14" s="36"/>
      <c r="C14" s="36"/>
      <c r="D14" s="49" t="s">
        <v>233</v>
      </c>
      <c r="E14" s="42">
        <f>'June 22  vs June 21 P&amp;L'!P58+'June 22  vs June 21 P&amp;L'!H52+'June 22  vs June 21 P&amp;L'!H53</f>
        <v>61402.005523896827</v>
      </c>
      <c r="F14" s="42">
        <f>'FY 22 Approved Bud monthly '!L46+'FY 22 Approved Bud monthly '!L53+'FY 22 Approved Bud monthly '!L54+'FY 22 Approved Bud monthly '!L42</f>
        <v>71608.333333333328</v>
      </c>
      <c r="G14" s="42">
        <f>E14-F14</f>
        <v>-10206.327809436501</v>
      </c>
      <c r="H14" s="42">
        <f>'YTD US Profit and Loss'!R68+'YTD US Profit and Loss'!I74+'YTD US Profit and Loss'!I75</f>
        <v>155554.20221055779</v>
      </c>
      <c r="I14" s="42">
        <f>'FY 22 Approved Bud monthly '!T42+'FY 22 Approved Bud monthly '!T46+'FY 22 Approved Bud monthly '!T53+'FY 22 Approved Bud monthly '!T54</f>
        <v>154070</v>
      </c>
      <c r="J14" s="42">
        <f t="shared" si="3"/>
        <v>1484.2022105577926</v>
      </c>
      <c r="K14" s="44"/>
    </row>
    <row r="15" spans="1:15" ht="15.75" x14ac:dyDescent="0.25">
      <c r="A15" s="36"/>
      <c r="B15" s="36"/>
      <c r="C15" s="36"/>
      <c r="D15" s="49" t="s">
        <v>162</v>
      </c>
      <c r="E15" s="42">
        <f>'June 22  vs June 21 P&amp;L'!P60+'June 22  vs June 21 P&amp;L'!H31</f>
        <v>6594.7889802641002</v>
      </c>
      <c r="F15" s="42">
        <f>'FY 22 Approved Bud monthly '!L72+'FY 22 Approved Bud monthly '!L75+'FY 22 Approved Bud monthly '!L76</f>
        <v>9000.7762000000002</v>
      </c>
      <c r="G15" s="42">
        <f>E15-F15</f>
        <v>-2405.9872197359</v>
      </c>
      <c r="H15" s="42">
        <f>'YTD US Profit and Loss'!I50+'YTD US Profit and Loss'!R70</f>
        <v>64595.084166729954</v>
      </c>
      <c r="I15" s="42">
        <f>'FY 22 Approved Bud monthly '!T72+'FY 22 Approved Bud monthly '!T75+'FY 22 Approved Bud monthly '!T76</f>
        <v>54004.657199999994</v>
      </c>
      <c r="J15" s="42">
        <f t="shared" si="3"/>
        <v>10590.42696672996</v>
      </c>
      <c r="K15" s="44"/>
    </row>
    <row r="16" spans="1:15" ht="15.75" x14ac:dyDescent="0.25">
      <c r="A16" s="36"/>
      <c r="B16" s="36"/>
      <c r="C16" s="36"/>
      <c r="D16" s="49" t="s">
        <v>172</v>
      </c>
      <c r="E16" s="42">
        <f>'June 22  vs June 21 P&amp;L'!P61+'June 22  vs June 21 P&amp;L'!H54</f>
        <v>5774.3366532142272</v>
      </c>
      <c r="F16" s="42">
        <f>'FY 22 Approved Bud monthly '!L88+'FY 22 Approved Bud monthly '!L91+'FY 22 Approved Bud monthly '!L93</f>
        <v>20555.965916666664</v>
      </c>
      <c r="G16" s="42">
        <f t="shared" ref="G16:G20" si="4">E16-F16</f>
        <v>-14781.629263452436</v>
      </c>
      <c r="H16" s="42">
        <f>'YTD US Profit and Loss'!R71+'YTD US Profit and Loss'!I76</f>
        <v>45815.93949512831</v>
      </c>
      <c r="I16" s="42">
        <f>'FY 22 Approved Bud monthly '!T87+'FY 22 Approved Bud monthly '!T88+'FY 22 Approved Bud monthly '!T91+'FY 22 Approved Bud monthly '!T93</f>
        <v>103335.79549999999</v>
      </c>
      <c r="J16" s="42">
        <f t="shared" si="3"/>
        <v>-57519.856004871683</v>
      </c>
      <c r="K16" s="44"/>
    </row>
    <row r="17" spans="1:16" ht="15.75" x14ac:dyDescent="0.25">
      <c r="A17" s="36"/>
      <c r="B17" s="36"/>
      <c r="C17" s="36"/>
      <c r="D17" s="49" t="s">
        <v>177</v>
      </c>
      <c r="E17" s="42">
        <f>'June 22  vs June 21 P&amp;L'!P62</f>
        <v>3717.343069993266</v>
      </c>
      <c r="F17" s="42">
        <f>'FY 22 Approved Bud monthly '!L101</f>
        <v>3805.2697666666659</v>
      </c>
      <c r="G17" s="42">
        <f t="shared" si="4"/>
        <v>-87.926696673399874</v>
      </c>
      <c r="H17" s="42">
        <f>'YTD US Profit and Loss'!R72</f>
        <v>22334.221035966522</v>
      </c>
      <c r="I17" s="42">
        <f>'FY 22 Approved Bud monthly '!T101</f>
        <v>22831.618599999994</v>
      </c>
      <c r="J17" s="42">
        <f t="shared" si="3"/>
        <v>-497.39756403347201</v>
      </c>
      <c r="K17" s="44"/>
      <c r="L17" s="43"/>
      <c r="M17" s="43"/>
    </row>
    <row r="18" spans="1:16" ht="15.75" x14ac:dyDescent="0.25">
      <c r="A18" s="36"/>
      <c r="B18" s="36"/>
      <c r="C18" s="36"/>
      <c r="D18" s="49" t="s">
        <v>179</v>
      </c>
      <c r="E18" s="42">
        <f>'June 22  vs June 21 P&amp;L'!P63</f>
        <v>4518.4126230755064</v>
      </c>
      <c r="F18" s="42">
        <f>'FY 22 Approved Bud monthly '!K111</f>
        <v>4625.2871000000005</v>
      </c>
      <c r="G18" s="42">
        <f t="shared" si="4"/>
        <v>-106.87447692449405</v>
      </c>
      <c r="H18" s="42">
        <f>'YTD US Profit and Loss'!R73</f>
        <v>27147.138253142846</v>
      </c>
      <c r="I18" s="42">
        <f>'FY 22 Approved Bud monthly '!T111</f>
        <v>27751.722600000005</v>
      </c>
      <c r="J18" s="42">
        <f t="shared" si="3"/>
        <v>-604.58434685715838</v>
      </c>
      <c r="K18" s="44"/>
      <c r="L18" s="43"/>
    </row>
    <row r="19" spans="1:16" ht="15.75" x14ac:dyDescent="0.25">
      <c r="A19" s="36"/>
      <c r="B19" s="36"/>
      <c r="C19" s="36"/>
      <c r="D19" s="49" t="s">
        <v>7807</v>
      </c>
      <c r="E19" s="42">
        <f>'June 22  vs June 21 P&amp;L'!P64+'June 22  vs June 21 P&amp;L'!H65+'June 22  vs June 21 P&amp;L'!H51</f>
        <v>30095.144884705463</v>
      </c>
      <c r="F19" s="42">
        <f>'FY 22 Approved Bud monthly '!L116+'FY 22 Approved Bud monthly '!L119+'FY 22 Approved Bud monthly '!L120+'FY 22 Approved Bud monthly '!L123+'FY 22 Approved Bud monthly '!L125+'FY 22 Approved Bud monthly '!L126+'FY 22 Approved Bud monthly '!L127+'FY 22 Approved Bud monthly '!L128+'FY 22 Approved Bud monthly '!L129+'FY 22 Approved Bud monthly '!L130+'FY 22 Approved Bud monthly '!L131</f>
        <v>61143.042516666661</v>
      </c>
      <c r="G19" s="42">
        <f t="shared" si="4"/>
        <v>-31047.897631961197</v>
      </c>
      <c r="H19" s="42">
        <f>'YTD US Profit and Loss'!R74+'YTD US Profit and Loss'!I90+'YTD US Profit and Loss'!I77+'YTD US Profit and Loss'!I73</f>
        <v>200822.24907969258</v>
      </c>
      <c r="I19" s="42">
        <f>'FY 22 Approved Bud monthly '!T116+'FY 22 Approved Bud monthly '!T119+'FY 22 Approved Bud monthly '!T120+'FY 22 Approved Bud monthly '!T123+'FY 22 Approved Bud monthly '!T125+'FY 22 Approved Bud monthly '!T126+'FY 22 Approved Bud monthly '!T127+'FY 22 Approved Bud monthly '!T128+'FY 22 Approved Bud monthly '!T129+'FY 22 Approved Bud monthly '!T130+'FY 22 Approved Bud monthly '!T131</f>
        <v>228358.25509999998</v>
      </c>
      <c r="J19" s="42">
        <f t="shared" si="3"/>
        <v>-27536.006020307395</v>
      </c>
      <c r="K19" s="44"/>
    </row>
    <row r="20" spans="1:16" ht="16.5" thickBot="1" x14ac:dyDescent="0.3">
      <c r="A20" s="36"/>
      <c r="B20" s="36"/>
      <c r="C20" s="36"/>
      <c r="D20" s="49" t="s">
        <v>201</v>
      </c>
      <c r="E20" s="42">
        <f>'June 22  vs June 21 P&amp;L'!P65</f>
        <v>5634.5804901060683</v>
      </c>
      <c r="F20" s="42">
        <f>'FY 22 Approved Bud monthly '!L124</f>
        <v>5767.8558000000003</v>
      </c>
      <c r="G20" s="42">
        <f t="shared" si="4"/>
        <v>-133.27530989393199</v>
      </c>
      <c r="H20" s="42">
        <f>'YTD US Profit and Loss'!R75</f>
        <v>33853.202069724888</v>
      </c>
      <c r="I20" s="42">
        <f>'FY 22 Approved Bud monthly '!T124</f>
        <v>34607.1348</v>
      </c>
      <c r="J20" s="42">
        <f t="shared" si="3"/>
        <v>-753.93273027511168</v>
      </c>
      <c r="O20" s="43"/>
      <c r="P20" s="43"/>
    </row>
    <row r="21" spans="1:16" ht="16.5" thickBot="1" x14ac:dyDescent="0.3">
      <c r="A21" s="36"/>
      <c r="B21" s="36"/>
      <c r="C21" s="36" t="s">
        <v>47</v>
      </c>
      <c r="D21" s="36"/>
      <c r="E21" s="47">
        <f t="shared" ref="E21:J21" si="5">SUM(E13:E20)</f>
        <v>134065.39000000001</v>
      </c>
      <c r="F21" s="47">
        <f t="shared" si="5"/>
        <v>198324.31983333331</v>
      </c>
      <c r="G21" s="47">
        <f t="shared" si="5"/>
        <v>-64258.929833333314</v>
      </c>
      <c r="H21" s="47">
        <f t="shared" si="5"/>
        <v>651542.64</v>
      </c>
      <c r="I21" s="47">
        <f t="shared" si="5"/>
        <v>845865.91899999999</v>
      </c>
      <c r="J21" s="147">
        <f t="shared" si="5"/>
        <v>-194323.27899999992</v>
      </c>
      <c r="K21" s="43"/>
      <c r="L21" s="43"/>
      <c r="O21" s="43"/>
      <c r="P21" s="43"/>
    </row>
    <row r="22" spans="1:16" ht="16.5" thickBot="1" x14ac:dyDescent="0.3">
      <c r="A22" s="36"/>
      <c r="B22" s="36" t="s">
        <v>48</v>
      </c>
      <c r="C22" s="36"/>
      <c r="D22" s="36"/>
      <c r="E22" s="47">
        <f t="shared" ref="E22:J22" si="6">E11-E21</f>
        <v>233645.28000000003</v>
      </c>
      <c r="F22" s="47">
        <f t="shared" si="6"/>
        <v>187675.68016666669</v>
      </c>
      <c r="G22" s="47">
        <f t="shared" si="6"/>
        <v>45969.599833333355</v>
      </c>
      <c r="H22" s="47">
        <f t="shared" si="6"/>
        <v>157916.54999999993</v>
      </c>
      <c r="I22" s="47">
        <f t="shared" si="6"/>
        <v>-53865.918999999994</v>
      </c>
      <c r="J22" s="148">
        <f t="shared" si="6"/>
        <v>211782.46899999987</v>
      </c>
      <c r="P22" s="43"/>
    </row>
    <row r="23" spans="1:16" ht="16.5" thickBot="1" x14ac:dyDescent="0.3">
      <c r="A23" s="36" t="s">
        <v>49</v>
      </c>
      <c r="B23" s="36"/>
      <c r="C23" s="36"/>
      <c r="D23" s="36"/>
      <c r="E23" s="149">
        <f>E22</f>
        <v>233645.28000000003</v>
      </c>
      <c r="F23" s="149">
        <f>F22</f>
        <v>187675.68016666669</v>
      </c>
      <c r="G23" s="149">
        <f>E23-F23</f>
        <v>45969.599833333341</v>
      </c>
      <c r="H23" s="149">
        <f>H22</f>
        <v>157916.54999999993</v>
      </c>
      <c r="I23" s="149">
        <f>I22</f>
        <v>-53865.918999999994</v>
      </c>
      <c r="J23" s="150">
        <f>H23-I23</f>
        <v>211782.46899999992</v>
      </c>
      <c r="K23" s="2"/>
      <c r="L23" s="48"/>
      <c r="P23" s="43"/>
    </row>
    <row r="24" spans="1:16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L24" s="43"/>
    </row>
    <row r="26" spans="1:16" x14ac:dyDescent="0.25">
      <c r="E26" s="43"/>
      <c r="F26" s="43"/>
      <c r="H26" s="43"/>
      <c r="I26" s="43"/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J28" s="43"/>
    </row>
    <row r="29" spans="1:16" x14ac:dyDescent="0.25">
      <c r="H29" s="43"/>
      <c r="I29" s="43"/>
    </row>
    <row r="30" spans="1:16" x14ac:dyDescent="0.25">
      <c r="F30" s="43"/>
      <c r="H30" s="43"/>
    </row>
    <row r="31" spans="1:16" x14ac:dyDescent="0.25">
      <c r="F31" s="43"/>
      <c r="H31" s="43"/>
      <c r="J31" s="43"/>
    </row>
    <row r="32" spans="1:16" x14ac:dyDescent="0.25">
      <c r="F32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95890B-35D6-4157-9D98-FE1524EA5D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4b2fc3e3-4049-4520-9bc5-99ad76a257ee"/>
    <ds:schemaRef ds:uri="993ae820-dc91-4153-84ef-2e299ded01b6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US Balance Sheet Year over Year</vt:lpstr>
      <vt:lpstr>Balance Sheet Summary</vt:lpstr>
      <vt:lpstr>June 22  vs June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P&amp;L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2022-05-19T18:28:20Z</cp:lastPrinted>
  <dcterms:created xsi:type="dcterms:W3CDTF">2021-02-18T00:23:14Z</dcterms:created>
  <dcterms:modified xsi:type="dcterms:W3CDTF">2022-07-21T23:11:00Z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  <property fmtid="{D5CDD505-2E9C-101B-9397-08002B2CF9AE}" pid="3" name="MediaServiceImageTags">
    <vt:lpwstr/>
  </property>
</Properties>
</file>