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5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6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drawings/drawing8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9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drawings/drawing10.xml" ContentType="application/vnd.openxmlformats-officedocument.drawing+xml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drawings/drawing11.xml" ContentType="application/vnd.openxmlformats-officedocument.drawing+xml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drawings/drawing12.xml" ContentType="application/vnd.openxmlformats-officedocument.drawing+xml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drawings/drawing13.xml" ContentType="application/vnd.openxmlformats-officedocument.drawing+xml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0" documentId="8_{F6026644-F586-4F85-A2AE-852C5660105B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May 22  vs May 21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25" r:id="rId11"/>
    <sheet name="Open AP" sheetId="26" r:id="rId12"/>
    <sheet name="Open AR" sheetId="27" r:id="rId13"/>
    <sheet name="FY21 APPROVED Budget by month" sheetId="6" state="hidden" r:id="rId14"/>
    <sheet name="FY 22 approved Bud" sheetId="29" r:id="rId15"/>
    <sheet name="FY 22 Approved Bud monthly " sheetId="30" r:id="rId16"/>
    <sheet name="US AR" sheetId="8" state="hidden" r:id="rId17"/>
    <sheet name=" US AP" sheetId="9" state="hidden" r:id="rId18"/>
    <sheet name="EU AP" sheetId="10" state="hidden" r:id="rId19"/>
    <sheet name="US Proj Bal" sheetId="1" state="hidden" r:id="rId20"/>
    <sheet name="EU CH bal" sheetId="12" state="hidden" r:id="rId21"/>
    <sheet name="EU Proj Bal" sheetId="13" state="hidden" r:id="rId22"/>
    <sheet name="US Ch Bal" sheetId="11" state="hidden" r:id="rId23"/>
    <sheet name="1.21-6.21 Events P&amp;L's" sheetId="23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31" l="1"/>
  <c r="I19" i="31"/>
  <c r="I18" i="31"/>
  <c r="I17" i="31"/>
  <c r="I16" i="31"/>
  <c r="I15" i="31"/>
  <c r="I14" i="31"/>
  <c r="I13" i="31"/>
  <c r="H20" i="31"/>
  <c r="H19" i="31"/>
  <c r="H18" i="31"/>
  <c r="H17" i="31"/>
  <c r="H16" i="31"/>
  <c r="H15" i="31"/>
  <c r="H14" i="31"/>
  <c r="H13" i="31"/>
  <c r="I10" i="31"/>
  <c r="I9" i="31"/>
  <c r="I8" i="31"/>
  <c r="I6" i="31" l="1"/>
  <c r="I5" i="3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7" i="30"/>
  <c r="F20" i="31"/>
  <c r="F19" i="31"/>
  <c r="F18" i="31"/>
  <c r="F17" i="31"/>
  <c r="E16" i="31"/>
  <c r="E15" i="31"/>
  <c r="F16" i="31"/>
  <c r="F15" i="31"/>
  <c r="F14" i="31"/>
  <c r="F13" i="31"/>
  <c r="F8" i="31"/>
  <c r="F6" i="31"/>
  <c r="H8" i="31"/>
  <c r="H7" i="31"/>
  <c r="H6" i="31"/>
  <c r="H5" i="31"/>
  <c r="J6" i="4"/>
  <c r="J7" i="4"/>
  <c r="J8" i="4"/>
  <c r="J9" i="4"/>
  <c r="J12" i="4"/>
  <c r="J13" i="4"/>
  <c r="J15" i="4"/>
  <c r="J20" i="4"/>
  <c r="J21" i="4"/>
  <c r="J24" i="4"/>
  <c r="J25" i="4"/>
  <c r="J29" i="4"/>
  <c r="J31" i="4"/>
  <c r="J32" i="4"/>
  <c r="J33" i="4"/>
  <c r="J34" i="4"/>
  <c r="J35" i="4"/>
  <c r="J36" i="4"/>
  <c r="J37" i="4"/>
  <c r="J45" i="4"/>
  <c r="J48" i="4"/>
  <c r="J49" i="4"/>
  <c r="J51" i="4"/>
  <c r="J52" i="4"/>
  <c r="J53" i="4"/>
  <c r="J54" i="4"/>
  <c r="J55" i="4"/>
  <c r="J56" i="4"/>
  <c r="J57" i="4"/>
  <c r="J58" i="4"/>
  <c r="J59" i="4"/>
  <c r="J60" i="4"/>
  <c r="J62" i="4"/>
  <c r="J67" i="4"/>
  <c r="J68" i="4"/>
  <c r="J69" i="4"/>
  <c r="J70" i="4"/>
  <c r="E20" i="31"/>
  <c r="E19" i="31"/>
  <c r="E18" i="31"/>
  <c r="E17" i="31"/>
  <c r="E14" i="31"/>
  <c r="E13" i="31"/>
  <c r="E8" i="31"/>
  <c r="E6" i="31"/>
  <c r="E5" i="31"/>
  <c r="R69" i="17"/>
  <c r="R70" i="17"/>
  <c r="R71" i="17"/>
  <c r="R72" i="17"/>
  <c r="R73" i="17"/>
  <c r="R74" i="17"/>
  <c r="R75" i="17"/>
  <c r="R68" i="17"/>
  <c r="P59" i="16"/>
  <c r="P60" i="16"/>
  <c r="P61" i="16"/>
  <c r="P62" i="16"/>
  <c r="P63" i="16"/>
  <c r="P64" i="16"/>
  <c r="P65" i="16"/>
  <c r="P58" i="16"/>
  <c r="K5" i="17"/>
  <c r="L5" i="17"/>
  <c r="K7" i="17"/>
  <c r="L7" i="17"/>
  <c r="K8" i="17"/>
  <c r="L8" i="17"/>
  <c r="K9" i="17"/>
  <c r="L9" i="17"/>
  <c r="K10" i="17"/>
  <c r="L10" i="17"/>
  <c r="K11" i="17"/>
  <c r="L11" i="17"/>
  <c r="K12" i="17"/>
  <c r="L12" i="17"/>
  <c r="I13" i="17"/>
  <c r="K13" i="17" s="1"/>
  <c r="J13" i="17"/>
  <c r="L13" i="17" s="1"/>
  <c r="K15" i="17"/>
  <c r="L15" i="17"/>
  <c r="K16" i="17"/>
  <c r="L16" i="17"/>
  <c r="K17" i="17"/>
  <c r="L17" i="17"/>
  <c r="I18" i="17"/>
  <c r="K18" i="17" s="1"/>
  <c r="J18" i="17"/>
  <c r="L18" i="17"/>
  <c r="K22" i="17"/>
  <c r="L22" i="17"/>
  <c r="I23" i="17"/>
  <c r="J23" i="17"/>
  <c r="K23" i="17" s="1"/>
  <c r="I24" i="17"/>
  <c r="J24" i="17"/>
  <c r="K24" i="17" s="1"/>
  <c r="I25" i="17"/>
  <c r="J25" i="17"/>
  <c r="K25" i="17" s="1"/>
  <c r="K27" i="17"/>
  <c r="L27" i="17"/>
  <c r="I28" i="17"/>
  <c r="K28" i="17" s="1"/>
  <c r="J28" i="17"/>
  <c r="L28" i="17"/>
  <c r="K30" i="17"/>
  <c r="L30" i="17"/>
  <c r="K31" i="17"/>
  <c r="L31" i="17"/>
  <c r="K32" i="17"/>
  <c r="L32" i="17"/>
  <c r="I33" i="17"/>
  <c r="J33" i="17"/>
  <c r="K33" i="17" s="1"/>
  <c r="K35" i="17"/>
  <c r="L35" i="17"/>
  <c r="I36" i="17"/>
  <c r="K36" i="17" s="1"/>
  <c r="J36" i="17"/>
  <c r="L36" i="17"/>
  <c r="K38" i="17"/>
  <c r="L38" i="17"/>
  <c r="I39" i="17"/>
  <c r="J39" i="17"/>
  <c r="K39" i="17" s="1"/>
  <c r="J40" i="17"/>
  <c r="J41" i="17" s="1"/>
  <c r="J90" i="17" s="1"/>
  <c r="J91" i="17" s="1"/>
  <c r="K44" i="17"/>
  <c r="L44" i="17"/>
  <c r="K45" i="17"/>
  <c r="L45" i="17"/>
  <c r="K46" i="17"/>
  <c r="L46" i="17"/>
  <c r="K47" i="17"/>
  <c r="L47" i="17"/>
  <c r="I48" i="17"/>
  <c r="J48" i="17"/>
  <c r="K48" i="17" s="1"/>
  <c r="K50" i="17"/>
  <c r="L50" i="17"/>
  <c r="K51" i="17"/>
  <c r="L51" i="17"/>
  <c r="K52" i="17"/>
  <c r="L52" i="17"/>
  <c r="K53" i="17"/>
  <c r="L53" i="17"/>
  <c r="K54" i="17"/>
  <c r="L54" i="17"/>
  <c r="K56" i="17"/>
  <c r="L56" i="17"/>
  <c r="K57" i="17"/>
  <c r="L57" i="17"/>
  <c r="K58" i="17"/>
  <c r="L58" i="17"/>
  <c r="I59" i="17"/>
  <c r="J59" i="17"/>
  <c r="K59" i="17" s="1"/>
  <c r="K60" i="17"/>
  <c r="L60" i="17"/>
  <c r="K61" i="17"/>
  <c r="L61" i="17"/>
  <c r="K62" i="17"/>
  <c r="L62" i="17"/>
  <c r="K63" i="17"/>
  <c r="L63" i="17"/>
  <c r="K64" i="17"/>
  <c r="L64" i="17"/>
  <c r="K66" i="17"/>
  <c r="L66" i="17"/>
  <c r="K67" i="17"/>
  <c r="L67" i="17"/>
  <c r="I68" i="17"/>
  <c r="K68" i="17" s="1"/>
  <c r="J68" i="17"/>
  <c r="L68" i="17"/>
  <c r="K69" i="17"/>
  <c r="L69" i="17"/>
  <c r="J70" i="17"/>
  <c r="K71" i="17"/>
  <c r="L71" i="17"/>
  <c r="K72" i="17"/>
  <c r="L72" i="17"/>
  <c r="K73" i="17"/>
  <c r="L73" i="17"/>
  <c r="K74" i="17"/>
  <c r="L74" i="17"/>
  <c r="K76" i="17"/>
  <c r="L76" i="17"/>
  <c r="K77" i="17"/>
  <c r="L77" i="17"/>
  <c r="K78" i="17"/>
  <c r="L78" i="17"/>
  <c r="K79" i="17"/>
  <c r="L79" i="17"/>
  <c r="I80" i="17"/>
  <c r="J80" i="17"/>
  <c r="K80" i="17" s="1"/>
  <c r="K82" i="17"/>
  <c r="L82" i="17"/>
  <c r="K83" i="17"/>
  <c r="L83" i="17"/>
  <c r="K84" i="17"/>
  <c r="L84" i="17"/>
  <c r="K85" i="17"/>
  <c r="L85" i="17"/>
  <c r="K86" i="17"/>
  <c r="L86" i="17"/>
  <c r="I87" i="17"/>
  <c r="K87" i="17" s="1"/>
  <c r="J87" i="17"/>
  <c r="L87" i="17"/>
  <c r="K88" i="17"/>
  <c r="L88" i="17"/>
  <c r="J89" i="17"/>
  <c r="K5" i="16"/>
  <c r="L5" i="16"/>
  <c r="K7" i="16"/>
  <c r="L7" i="16"/>
  <c r="K8" i="16"/>
  <c r="L8" i="16"/>
  <c r="K9" i="16"/>
  <c r="L9" i="16"/>
  <c r="I10" i="16"/>
  <c r="K10" i="16" s="1"/>
  <c r="J10" i="16"/>
  <c r="L10" i="16"/>
  <c r="K12" i="16"/>
  <c r="L12" i="16"/>
  <c r="K13" i="16"/>
  <c r="L13" i="16"/>
  <c r="I14" i="16"/>
  <c r="J14" i="16"/>
  <c r="K14" i="16" s="1"/>
  <c r="L14" i="16"/>
  <c r="K18" i="16"/>
  <c r="L18" i="16"/>
  <c r="I19" i="16"/>
  <c r="K19" i="16" s="1"/>
  <c r="J19" i="16"/>
  <c r="L19" i="16" s="1"/>
  <c r="I20" i="16"/>
  <c r="K20" i="16" s="1"/>
  <c r="J20" i="16"/>
  <c r="L20" i="16" s="1"/>
  <c r="I21" i="16"/>
  <c r="K21" i="16" s="1"/>
  <c r="J21" i="16"/>
  <c r="L21" i="16" s="1"/>
  <c r="K23" i="16"/>
  <c r="L23" i="16"/>
  <c r="K24" i="16"/>
  <c r="L24" i="16"/>
  <c r="I25" i="16"/>
  <c r="K25" i="16" s="1"/>
  <c r="J25" i="16"/>
  <c r="L25" i="16" s="1"/>
  <c r="I26" i="16"/>
  <c r="I27" i="16"/>
  <c r="K30" i="16"/>
  <c r="L30" i="16"/>
  <c r="K31" i="16"/>
  <c r="L31" i="16"/>
  <c r="I32" i="16"/>
  <c r="K32" i="16" s="1"/>
  <c r="J32" i="16"/>
  <c r="L32" i="16" s="1"/>
  <c r="K34" i="16"/>
  <c r="L34" i="16"/>
  <c r="K35" i="16"/>
  <c r="L35" i="16"/>
  <c r="K36" i="16"/>
  <c r="L36" i="16"/>
  <c r="K38" i="16"/>
  <c r="L38" i="16"/>
  <c r="K39" i="16"/>
  <c r="L39" i="16"/>
  <c r="K40" i="16"/>
  <c r="L40" i="16"/>
  <c r="I41" i="16"/>
  <c r="K41" i="16" s="1"/>
  <c r="J41" i="16"/>
  <c r="L41" i="16" s="1"/>
  <c r="K42" i="16"/>
  <c r="L42" i="16"/>
  <c r="K43" i="16"/>
  <c r="L43" i="16"/>
  <c r="K44" i="16"/>
  <c r="L44" i="16"/>
  <c r="K46" i="16"/>
  <c r="L46" i="16"/>
  <c r="K47" i="16"/>
  <c r="L47" i="16"/>
  <c r="I48" i="16"/>
  <c r="J48" i="16"/>
  <c r="K48" i="16" s="1"/>
  <c r="L48" i="16"/>
  <c r="K49" i="16"/>
  <c r="L49" i="16"/>
  <c r="I50" i="16"/>
  <c r="K50" i="16" s="1"/>
  <c r="J50" i="16"/>
  <c r="L50" i="16" s="1"/>
  <c r="K51" i="16"/>
  <c r="L51" i="16"/>
  <c r="K52" i="16"/>
  <c r="L52" i="16"/>
  <c r="K53" i="16"/>
  <c r="L53" i="16"/>
  <c r="K55" i="16"/>
  <c r="L55" i="16"/>
  <c r="K56" i="16"/>
  <c r="L56" i="16"/>
  <c r="K57" i="16"/>
  <c r="L57" i="16"/>
  <c r="K58" i="16"/>
  <c r="L58" i="16"/>
  <c r="I59" i="16"/>
  <c r="J59" i="16"/>
  <c r="K59" i="16" s="1"/>
  <c r="L59" i="16"/>
  <c r="K61" i="16"/>
  <c r="L61" i="16"/>
  <c r="K62" i="16"/>
  <c r="L62" i="16"/>
  <c r="K63" i="16"/>
  <c r="L63" i="16"/>
  <c r="K64" i="16"/>
  <c r="L64" i="16"/>
  <c r="I65" i="16"/>
  <c r="J65" i="16"/>
  <c r="K65" i="16" s="1"/>
  <c r="L65" i="16"/>
  <c r="K66" i="16"/>
  <c r="L66" i="16"/>
  <c r="I67" i="16"/>
  <c r="K67" i="16" s="1"/>
  <c r="J67" i="16"/>
  <c r="L67" i="16" s="1"/>
  <c r="I68" i="16"/>
  <c r="I69" i="16"/>
  <c r="F18" i="25"/>
  <c r="F26" i="25" s="1"/>
  <c r="F28" i="25" s="1"/>
  <c r="F25" i="25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C40" i="27"/>
  <c r="D40" i="27"/>
  <c r="E40" i="27"/>
  <c r="F40" i="27"/>
  <c r="G40" i="27"/>
  <c r="H40" i="27"/>
  <c r="H2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C18" i="26"/>
  <c r="D18" i="26"/>
  <c r="E18" i="26"/>
  <c r="F18" i="26"/>
  <c r="G18" i="26"/>
  <c r="H18" i="26" s="1"/>
  <c r="I6" i="4"/>
  <c r="I7" i="4"/>
  <c r="I8" i="4"/>
  <c r="I9" i="4"/>
  <c r="G10" i="4"/>
  <c r="J10" i="4" s="1"/>
  <c r="H10" i="4"/>
  <c r="I12" i="4"/>
  <c r="G13" i="4"/>
  <c r="H13" i="4"/>
  <c r="I15" i="4"/>
  <c r="G16" i="4"/>
  <c r="J16" i="4" s="1"/>
  <c r="H16" i="4"/>
  <c r="I20" i="4"/>
  <c r="I21" i="4"/>
  <c r="G22" i="4"/>
  <c r="J22" i="4" s="1"/>
  <c r="H22" i="4"/>
  <c r="I24" i="4"/>
  <c r="I25" i="4"/>
  <c r="G26" i="4"/>
  <c r="G27" i="4" s="1"/>
  <c r="J27" i="4" s="1"/>
  <c r="H26" i="4"/>
  <c r="H27" i="4" s="1"/>
  <c r="I29" i="4"/>
  <c r="I31" i="4"/>
  <c r="I32" i="4"/>
  <c r="I33" i="4"/>
  <c r="I34" i="4"/>
  <c r="I35" i="4"/>
  <c r="I36" i="4"/>
  <c r="I37" i="4"/>
  <c r="G38" i="4"/>
  <c r="J38" i="4" s="1"/>
  <c r="H38" i="4"/>
  <c r="H39" i="4" s="1"/>
  <c r="I45" i="4"/>
  <c r="G46" i="4"/>
  <c r="J46" i="4" s="1"/>
  <c r="H46" i="4"/>
  <c r="I48" i="4"/>
  <c r="I49" i="4"/>
  <c r="I51" i="4"/>
  <c r="I52" i="4"/>
  <c r="I53" i="4"/>
  <c r="I54" i="4"/>
  <c r="I55" i="4"/>
  <c r="I56" i="4"/>
  <c r="I57" i="4"/>
  <c r="I58" i="4"/>
  <c r="I59" i="4"/>
  <c r="I60" i="4"/>
  <c r="G61" i="4"/>
  <c r="G63" i="4" s="1"/>
  <c r="J63" i="4" s="1"/>
  <c r="H61" i="4"/>
  <c r="H63" i="4" s="1"/>
  <c r="I62" i="4"/>
  <c r="I67" i="4"/>
  <c r="I68" i="4"/>
  <c r="I69" i="4"/>
  <c r="G70" i="4"/>
  <c r="H70" i="4"/>
  <c r="J26" i="4" l="1"/>
  <c r="J61" i="4"/>
  <c r="I70" i="4"/>
  <c r="I10" i="4"/>
  <c r="H64" i="4"/>
  <c r="H65" i="4" s="1"/>
  <c r="H71" i="4" s="1"/>
  <c r="I16" i="4"/>
  <c r="G17" i="4"/>
  <c r="I70" i="17"/>
  <c r="I40" i="17"/>
  <c r="L80" i="17"/>
  <c r="L59" i="17"/>
  <c r="L48" i="17"/>
  <c r="L39" i="17"/>
  <c r="L33" i="17"/>
  <c r="L25" i="17"/>
  <c r="L24" i="17"/>
  <c r="L23" i="17"/>
  <c r="K26" i="16"/>
  <c r="J26" i="16"/>
  <c r="I63" i="4"/>
  <c r="G64" i="4"/>
  <c r="J64" i="4" s="1"/>
  <c r="I46" i="4"/>
  <c r="I26" i="4"/>
  <c r="H17" i="4"/>
  <c r="H40" i="4" s="1"/>
  <c r="I61" i="4"/>
  <c r="I22" i="4"/>
  <c r="I13" i="4"/>
  <c r="I27" i="4"/>
  <c r="G65" i="4"/>
  <c r="J65" i="4" s="1"/>
  <c r="G39" i="4"/>
  <c r="I38" i="4"/>
  <c r="I17" i="4" l="1"/>
  <c r="J17" i="4"/>
  <c r="G40" i="4"/>
  <c r="J40" i="4" s="1"/>
  <c r="J39" i="4"/>
  <c r="K40" i="17"/>
  <c r="L40" i="17"/>
  <c r="I41" i="17"/>
  <c r="K70" i="17"/>
  <c r="L70" i="17"/>
  <c r="I89" i="17"/>
  <c r="J27" i="16"/>
  <c r="L26" i="16"/>
  <c r="I64" i="4"/>
  <c r="I39" i="4"/>
  <c r="I65" i="4"/>
  <c r="G71" i="4"/>
  <c r="J71" i="4" s="1"/>
  <c r="I40" i="4" l="1"/>
  <c r="K41" i="17"/>
  <c r="L41" i="17"/>
  <c r="I90" i="17"/>
  <c r="K89" i="17"/>
  <c r="L89" i="17"/>
  <c r="J68" i="16"/>
  <c r="L27" i="16"/>
  <c r="K27" i="16"/>
  <c r="I71" i="4"/>
  <c r="K90" i="17" l="1"/>
  <c r="L90" i="17"/>
  <c r="I91" i="17"/>
  <c r="J69" i="16"/>
  <c r="L68" i="16"/>
  <c r="K68" i="16"/>
  <c r="K91" i="17" l="1"/>
  <c r="L91" i="17"/>
  <c r="L69" i="16"/>
  <c r="K69" i="16"/>
  <c r="P66" i="16" l="1"/>
  <c r="K11" i="31" l="1"/>
  <c r="G10" i="31"/>
  <c r="J9" i="31"/>
  <c r="G9" i="31"/>
  <c r="G7" i="31"/>
  <c r="J10" i="31" l="1"/>
  <c r="H11" i="31"/>
  <c r="J5" i="31"/>
  <c r="E11" i="31"/>
  <c r="G5" i="31"/>
  <c r="G146" i="29" l="1"/>
  <c r="G145" i="29"/>
  <c r="G144" i="29"/>
  <c r="G143" i="29"/>
  <c r="G142" i="29"/>
  <c r="G141" i="29"/>
  <c r="G140" i="29"/>
  <c r="G139" i="29"/>
  <c r="G138" i="29"/>
  <c r="R76" i="17" l="1"/>
  <c r="E21" i="31"/>
  <c r="E22" i="31" s="1"/>
  <c r="E23" i="31" s="1"/>
  <c r="H21" i="31" l="1"/>
  <c r="H22" i="31" l="1"/>
  <c r="H23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F72" i="30"/>
  <c r="G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O38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H134" i="30" l="1"/>
  <c r="AU134" i="30" s="1"/>
  <c r="BL127" i="30"/>
  <c r="AS9" i="30"/>
  <c r="G88" i="30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AT88" i="30"/>
  <c r="BL88" i="30" s="1"/>
  <c r="S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C133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BL9" i="30" l="1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F36" i="30"/>
  <c r="AS36" i="30" s="1"/>
  <c r="BL36" i="30" s="1"/>
  <c r="F65" i="30"/>
  <c r="G65" i="30" s="1"/>
  <c r="F123" i="30"/>
  <c r="F130" i="30"/>
  <c r="F12" i="30"/>
  <c r="L12" i="30" s="1"/>
  <c r="S12" i="30" s="1"/>
  <c r="F91" i="30"/>
  <c r="F7" i="30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F111" i="30"/>
  <c r="G111" i="30" s="1"/>
  <c r="S128" i="30" l="1"/>
  <c r="J18" i="31"/>
  <c r="G18" i="31"/>
  <c r="G13" i="31"/>
  <c r="J17" i="31"/>
  <c r="G17" i="31"/>
  <c r="J15" i="31"/>
  <c r="G15" i="31"/>
  <c r="G124" i="30"/>
  <c r="AS124" i="30"/>
  <c r="AS33" i="30"/>
  <c r="BL33" i="30" s="1"/>
  <c r="G33" i="30"/>
  <c r="AS30" i="30"/>
  <c r="G30" i="30"/>
  <c r="AS123" i="30"/>
  <c r="G123" i="30"/>
  <c r="S101" i="30"/>
  <c r="V101" i="30"/>
  <c r="AS18" i="30"/>
  <c r="Q18" i="30"/>
  <c r="AS91" i="30"/>
  <c r="G91" i="30"/>
  <c r="V111" i="30"/>
  <c r="S111" i="30"/>
  <c r="S46" i="30"/>
  <c r="V46" i="30"/>
  <c r="F129" i="30"/>
  <c r="G129" i="30" s="1"/>
  <c r="G34" i="30"/>
  <c r="AS34" i="30"/>
  <c r="S76" i="30"/>
  <c r="V76" i="30"/>
  <c r="Y82" i="30" s="1"/>
  <c r="G131" i="30"/>
  <c r="AS131" i="30"/>
  <c r="G42" i="30"/>
  <c r="F133" i="30"/>
  <c r="AS133" i="30" s="1"/>
  <c r="L7" i="30"/>
  <c r="F38" i="30"/>
  <c r="AS7" i="30"/>
  <c r="AS130" i="30"/>
  <c r="G130" i="30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S129" i="30" l="1"/>
  <c r="J14" i="31"/>
  <c r="J7" i="31"/>
  <c r="G14" i="31"/>
  <c r="J16" i="31"/>
  <c r="G16" i="31"/>
  <c r="G6" i="31"/>
  <c r="J13" i="31"/>
  <c r="J20" i="31"/>
  <c r="G20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G19" i="31" l="1"/>
  <c r="G21" i="31" s="1"/>
  <c r="J6" i="31"/>
  <c r="I11" i="31"/>
  <c r="F21" i="31"/>
  <c r="F22" i="31" s="1"/>
  <c r="F23" i="31" s="1"/>
  <c r="G23" i="31" s="1"/>
  <c r="J8" i="31"/>
  <c r="G8" i="31"/>
  <c r="G11" i="31" s="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BL133" i="30" l="1"/>
  <c r="BL38" i="30"/>
  <c r="J11" i="31"/>
  <c r="G22" i="31"/>
  <c r="J19" i="31"/>
  <c r="J21" i="31" s="1"/>
  <c r="I21" i="31"/>
  <c r="I22" i="31" s="1"/>
  <c r="I23" i="31" s="1"/>
  <c r="J23" i="31" s="1"/>
  <c r="AT134" i="30"/>
  <c r="BL134" i="30" s="1"/>
  <c r="V134" i="30"/>
  <c r="S134" i="30"/>
  <c r="J22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<sst xmlns="http://schemas.openxmlformats.org/spreadsheetml/2006/main" count="33316" uniqueCount="7867">
  <si>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</si>
  <si>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</si>
  <si>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</si>
  <si>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</si>
  <si>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</si>
  <si>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</si>
  <si>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</si>
  <si>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</si>
  <si>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</si>
  <si>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</si>
  <si>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</si>
  <si>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</si>
  <si>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</si>
  <si>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</si>
  <si>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</si>
  <si>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</si>
  <si>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</si>
  <si>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</si>
  <si>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</si>
  <si>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</si>
  <si>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</si>
  <si>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</si>
  <si>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</si>
  <si>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</si>
  <si>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</si>
  <si>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</si>
  <si>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</si>
  <si>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</si>
  <si>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</si>
  <si>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</si>
  <si>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</si>
  <si>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</si>
  <si>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</si>
  <si>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</si>
  <si>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</si>
  <si>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</si>
  <si>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</si>
  <si>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</si>
  <si>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</si>
  <si>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</si>
  <si>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</si>
  <si>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</si>
  <si>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</si>
  <si>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</si>
  <si>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</si>
  <si>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</si>
  <si>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</si>
  <si>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</si>
  <si>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</si>
  <si>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</si>
  <si>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</si>
  <si>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</si>
  <si>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</si>
  <si>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</si>
  <si>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</si>
  <si>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</si>
  <si>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</si>
  <si>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</si>
  <si>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</si>
  <si>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</si>
  <si>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</si>
  <si>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</si>
  <si>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</si>
  <si>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</si>
  <si>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</si>
  <si>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</si>
  <si>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</si>
  <si>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</si>
  <si>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</si>
  <si>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</si>
  <si>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</si>
  <si>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</si>
  <si>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</si>
  <si>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</si>
  <si>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</si>
  <si>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</si>
  <si>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</si>
  <si>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</si>
  <si>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</si>
  <si>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</si>
  <si>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</si>
  <si>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</si>
  <si>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</si>
  <si>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</si>
  <si>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</si>
  <si>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</si>
  <si>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</si>
  <si>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</si>
  <si>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</si>
  <si>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</si>
  <si>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</si>
  <si>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</si>
  <si>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</si>
  <si>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</si>
  <si>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</si>
  <si>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</si>
  <si>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</si>
  <si>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</si>
  <si>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</si>
  <si>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</si>
  <si>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</si>
  <si>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</si>
  <si>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</si>
  <si>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</si>
  <si>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</si>
  <si>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</si>
  <si>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</si>
  <si>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</si>
  <si>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</si>
  <si>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</si>
  <si>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</si>
  <si>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</si>
  <si>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</si>
  <si>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</si>
  <si>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</si>
  <si>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</si>
  <si>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</si>
  <si>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</si>
  <si>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</si>
  <si>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</si>
  <si>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</si>
  <si>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</si>
  <si>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</si>
  <si>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</si>
  <si>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</si>
  <si>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</si>
  <si>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</si>
  <si>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</si>
  <si>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</si>
  <si>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</si>
  <si>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</si>
  <si>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</si>
  <si>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</si>
  <si>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</si>
  <si>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</si>
  <si>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</si>
  <si>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</si>
  <si>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</si>
  <si>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</si>
  <si>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</si>
  <si>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</si>
  <si>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</si>
  <si>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</si>
  <si>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</si>
  <si>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</si>
  <si>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</si>
  <si>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</si>
  <si>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</si>
  <si>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</si>
  <si>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</si>
  <si>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</si>
  <si>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</si>
  <si>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</si>
  <si>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</si>
  <si>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</si>
  <si>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</si>
  <si>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</si>
  <si>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</si>
  <si>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</si>
  <si>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</si>
  <si>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</si>
  <si>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</si>
  <si>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</si>
  <si>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</si>
  <si>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</si>
  <si>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</si>
  <si>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</si>
  <si>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</si>
  <si>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</si>
  <si>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</si>
  <si>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</si>
  <si>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</si>
  <si>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</si>
  <si>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</si>
  <si>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</si>
  <si>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</si>
  <si>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</si>
  <si>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</si>
  <si>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</si>
  <si>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</si>
  <si>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</si>
  <si>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</si>
  <si>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</si>
  <si>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</si>
  <si>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</si>
  <si>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</si>
  <si>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</si>
  <si>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</si>
  <si>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</si>
  <si>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</si>
  <si>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</si>
  <si>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</si>
  <si>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</si>
  <si>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</si>
  <si>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</si>
  <si>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</si>
  <si>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</si>
  <si>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</si>
  <si>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</si>
  <si>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</si>
  <si>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</si>
  <si>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</si>
  <si>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</si>
  <si>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</si>
  <si>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</si>
  <si>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</si>
  <si>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</si>
  <si>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</si>
  <si>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</si>
  <si>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</si>
  <si>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</si>
  <si>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</si>
  <si>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</si>
  <si>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</si>
  <si>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</si>
  <si>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</si>
  <si>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</si>
  <si>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</si>
  <si>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</si>
  <si>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</si>
  <si>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</si>
  <si>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</si>
  <si>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</si>
  <si>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</si>
  <si>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</si>
  <si>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</si>
  <si>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</si>
  <si>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</si>
  <si>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</si>
  <si>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</si>
  <si>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</si>
  <si>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</si>
  <si>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</si>
  <si>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</si>
  <si>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</si>
  <si>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</si>
  <si>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</si>
  <si>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</si>
  <si>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</si>
  <si>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</si>
  <si>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</si>
  <si>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</si>
  <si>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</si>
  <si>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</si>
  <si>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</si>
  <si>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</si>
  <si>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</si>
  <si>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</si>
  <si>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</si>
  <si>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</si>
  <si>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</si>
  <si>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</si>
  <si>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</si>
  <si>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</si>
  <si>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</si>
  <si>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</si>
  <si>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</si>
  <si>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</si>
  <si>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</si>
  <si>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</si>
  <si>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</si>
  <si>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</si>
  <si>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</si>
  <si>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</si>
  <si>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</si>
  <si>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</si>
  <si>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</si>
  <si>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</si>
  <si>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</si>
  <si>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</si>
  <si>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</si>
  <si>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</si>
  <si>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</si>
  <si>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</si>
  <si>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</si>
  <si>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</si>
  <si>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</si>
  <si>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</si>
  <si>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</si>
  <si>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</si>
  <si>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</si>
  <si>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</si>
  <si>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</si>
  <si>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</si>
  <si>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</si>
  <si>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</si>
  <si>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</si>
  <si>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</si>
  <si>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</si>
  <si>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</si>
  <si>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</si>
  <si>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</si>
  <si>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</si>
  <si>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</si>
  <si>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</si>
  <si>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</si>
  <si>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</si>
  <si>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</si>
  <si>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</si>
  <si>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</si>
  <si>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</si>
  <si>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</si>
  <si>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</si>
  <si>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</si>
  <si>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</si>
  <si>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</si>
  <si>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</si>
  <si>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</si>
  <si>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</si>
  <si>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</si>
  <si>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</si>
  <si>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</si>
  <si>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</si>
  <si>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</si>
  <si>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</si>
  <si>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</si>
  <si>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</si>
  <si>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</si>
  <si>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</si>
  <si>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</si>
  <si>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</si>
  <si>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</si>
  <si>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</si>
  <si>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</si>
  <si>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</si>
  <si>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</si>
  <si>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</si>
  <si>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</si>
  <si>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</si>
  <si>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</si>
  <si>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</si>
  <si>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</si>
  <si>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</si>
  <si>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</si>
  <si>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</si>
  <si>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</si>
  <si>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</si>
  <si>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</si>
  <si>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</si>
  <si>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</si>
  <si>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</si>
  <si>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</si>
  <si>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</si>
  <si>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</si>
  <si>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</si>
  <si>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</si>
  <si>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</si>
  <si>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</si>
  <si>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</si>
  <si>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</si>
  <si>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</si>
  <si>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</si>
  <si>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</si>
  <si>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</si>
  <si>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</si>
  <si>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</si>
  <si>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</si>
  <si>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</si>
  <si>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</si>
  <si>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</si>
  <si>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</si>
  <si>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</si>
  <si>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</si>
  <si>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</si>
  <si>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</si>
  <si>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</si>
  <si>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</si>
  <si>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</si>
  <si>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</si>
  <si>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</si>
  <si>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</si>
  <si>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</si>
  <si>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</si>
  <si>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</si>
  <si>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</si>
  <si>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</si>
  <si>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</si>
  <si>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</si>
  <si>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</si>
  <si>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</si>
  <si>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</si>
  <si>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</si>
  <si>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</si>
  <si>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</si>
  <si>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</si>
  <si>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</si>
  <si>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</si>
  <si>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</si>
  <si>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</si>
  <si>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</si>
  <si>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</si>
  <si>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</si>
  <si>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</si>
  <si>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</si>
  <si>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</si>
  <si>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</si>
  <si>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</si>
  <si>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</si>
  <si>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</si>
  <si>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</si>
  <si>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</si>
  <si>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</si>
  <si>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</si>
  <si>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</si>
  <si>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</si>
  <si>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</si>
  <si>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</si>
  <si>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</si>
  <si>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</si>
  <si>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</si>
  <si>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</si>
  <si>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</si>
  <si>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</si>
  <si>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</si>
  <si>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</si>
  <si>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</si>
  <si>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</si>
  <si>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</si>
  <si>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</si>
  <si>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</si>
  <si>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</si>
  <si>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</si>
  <si>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</si>
  <si>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</si>
  <si>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</si>
  <si>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</si>
  <si>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</si>
  <si>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</si>
  <si>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</si>
  <si>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</si>
  <si>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</si>
  <si>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</si>
  <si>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</si>
  <si>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</si>
  <si>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</si>
  <si>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</si>
  <si>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</si>
  <si>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</si>
  <si>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</si>
  <si>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</si>
  <si>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</si>
  <si>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</si>
  <si>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</si>
  <si>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</si>
  <si>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</si>
  <si>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</si>
  <si>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</si>
  <si>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</si>
  <si>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</si>
  <si>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</si>
  <si>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</si>
  <si>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</si>
  <si>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</si>
  <si>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</si>
  <si>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</si>
  <si>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</si>
  <si>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</si>
  <si>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</si>
  <si>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</si>
  <si>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</si>
  <si>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</si>
  <si>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</si>
  <si>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</si>
  <si>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</si>
  <si>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</si>
  <si>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</si>
  <si>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</si>
  <si>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</si>
  <si>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</si>
  <si>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</si>
  <si>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</si>
  <si>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</si>
  <si>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</si>
  <si>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</si>
  <si>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</si>
  <si>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</si>
  <si>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</si>
  <si>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</si>
  <si>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</si>
  <si>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</si>
  <si>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</si>
  <si>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</si>
  <si>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</si>
  <si>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</si>
  <si>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</si>
  <si>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</si>
  <si>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</si>
  <si>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</si>
  <si>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</si>
  <si>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</si>
  <si>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</si>
  <si>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</si>
  <si>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</si>
  <si>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</si>
  <si>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</si>
  <si>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</si>
  <si>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</si>
  <si>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</si>
  <si>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</si>
  <si>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</si>
  <si>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</si>
  <si>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</si>
  <si>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</si>
  <si>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</si>
  <si>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</si>
  <si>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</si>
  <si>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</si>
  <si>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</si>
  <si>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</si>
  <si>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</si>
  <si>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</si>
  <si>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</si>
  <si>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</si>
  <si>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</si>
  <si>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</si>
  <si>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</si>
  <si>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</si>
  <si>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</si>
  <si>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</si>
  <si>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</si>
  <si>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</si>
  <si>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</si>
  <si>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</si>
  <si>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</si>
  <si>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</si>
  <si>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</si>
  <si>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</si>
  <si>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</si>
  <si>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</si>
  <si>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</si>
  <si>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</si>
  <si>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</si>
  <si>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</si>
  <si>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</si>
  <si>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</si>
  <si>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</si>
  <si>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</si>
  <si>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</si>
  <si>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</si>
  <si>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</si>
  <si>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</si>
  <si>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</si>
  <si>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</si>
  <si>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</si>
  <si>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</si>
  <si>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</si>
  <si>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</si>
  <si>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</si>
  <si>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</si>
  <si>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</si>
  <si>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</si>
  <si>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</si>
  <si>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</si>
  <si>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</si>
  <si>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</si>
  <si>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</si>
  <si>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</si>
  <si>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</si>
  <si>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</si>
  <si>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</si>
  <si>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</si>
  <si>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</si>
  <si>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</si>
  <si>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</si>
  <si>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</si>
  <si>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</si>
  <si>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</si>
  <si>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</si>
  <si>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</si>
  <si>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</si>
  <si>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</si>
  <si>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</si>
  <si>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</si>
  <si>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</si>
  <si>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</si>
  <si>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</si>
  <si>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</si>
  <si>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</si>
  <si>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</si>
  <si>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</si>
  <si>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</si>
  <si>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</si>
  <si>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</si>
  <si>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</si>
  <si>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</si>
  <si>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</si>
  <si>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</si>
  <si>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</si>
  <si>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</si>
  <si>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</si>
  <si>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</si>
  <si>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</si>
  <si>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</si>
  <si>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</si>
  <si>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</si>
  <si>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</si>
  <si>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</si>
  <si>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</si>
  <si>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</si>
  <si>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</si>
  <si>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</si>
  <si>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</si>
  <si>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</si>
  <si>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</si>
  <si>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</si>
  <si>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</si>
  <si>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</si>
  <si>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</si>
  <si>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</si>
  <si>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</si>
  <si>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</si>
  <si>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</si>
  <si>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</si>
  <si>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</si>
  <si>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</si>
  <si>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</si>
  <si>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</si>
  <si>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</si>
  <si>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</si>
  <si>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</si>
  <si>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</si>
  <si>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</si>
  <si>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</si>
  <si>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</si>
  <si>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</si>
  <si>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</si>
  <si>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</si>
  <si>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</si>
  <si>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</si>
  <si>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</si>
  <si>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</si>
  <si>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</si>
  <si>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</si>
  <si>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</si>
  <si>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</si>
  <si>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</si>
  <si>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</si>
  <si>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</si>
  <si>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</si>
  <si>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</si>
  <si>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</si>
  <si>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</si>
  <si>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</si>
  <si>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</si>
  <si>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</si>
  <si>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</si>
  <si>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</si>
  <si>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</si>
  <si>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</si>
  <si>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</si>
  <si>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</si>
  <si>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</si>
  <si>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</si>
  <si>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</si>
  <si>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</si>
  <si>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</si>
  <si>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</si>
  <si>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</si>
  <si>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</si>
  <si>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</si>
  <si>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</si>
  <si>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</si>
  <si>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</si>
  <si>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</si>
  <si>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</si>
  <si>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</si>
  <si>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</si>
  <si>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</si>
  <si>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</si>
  <si>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</si>
  <si>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</si>
  <si>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</si>
  <si>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</si>
  <si>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</si>
  <si>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</si>
  <si>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</si>
  <si>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</si>
  <si>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</si>
  <si>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</si>
  <si>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</si>
  <si>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</si>
  <si>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</si>
  <si>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</si>
  <si>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</si>
  <si>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</si>
  <si>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</si>
  <si>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</si>
  <si>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</si>
  <si>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</si>
  <si>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</si>
  <si>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</si>
  <si>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</si>
  <si>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</si>
  <si>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</si>
  <si>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</si>
  <si>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</si>
  <si>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</si>
  <si>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</si>
  <si>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</si>
  <si>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</si>
  <si>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</si>
  <si>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</si>
  <si>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</si>
  <si>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</si>
  <si>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</si>
  <si>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</si>
  <si>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</si>
  <si>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</si>
  <si>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</si>
  <si>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</si>
  <si>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</si>
  <si>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</si>
  <si>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</si>
  <si>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</si>
  <si>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</si>
  <si>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</si>
  <si>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</si>
  <si>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</si>
  <si>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</si>
  <si>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</si>
  <si>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</si>
  <si>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</si>
  <si>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</si>
  <si>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</si>
  <si>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</si>
  <si>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</si>
  <si>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</si>
  <si>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</si>
  <si>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</si>
  <si>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</si>
  <si>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</si>
  <si>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</si>
  <si>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</si>
  <si>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</si>
  <si>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</si>
  <si>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</si>
  <si>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</si>
  <si>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</si>
  <si>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</si>
  <si>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</si>
  <si>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</si>
  <si>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</si>
  <si>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</si>
  <si>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</si>
  <si>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</si>
  <si>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</si>
  <si>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</si>
  <si>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</si>
  <si>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</si>
  <si>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</si>
  <si>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</si>
  <si>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</si>
  <si>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</si>
  <si>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</si>
  <si>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</si>
  <si>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</si>
  <si>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</si>
  <si>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</si>
  <si>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</si>
  <si>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</si>
  <si>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</si>
  <si>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</si>
  <si>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</si>
  <si>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</si>
  <si>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</si>
  <si>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</si>
  <si>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</si>
  <si>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</si>
  <si>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</si>
  <si>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</si>
  <si>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</si>
  <si>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</si>
  <si>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</si>
  <si>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</si>
  <si>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</si>
  <si>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</si>
  <si>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</si>
  <si>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</si>
  <si>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</si>
  <si>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</si>
  <si>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</si>
  <si>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</si>
  <si>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</si>
  <si>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</si>
  <si>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</si>
  <si>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</si>
  <si>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</si>
  <si>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</si>
  <si>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</si>
  <si>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</si>
  <si>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</si>
  <si>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</si>
  <si>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</si>
  <si>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</si>
  <si>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</si>
  <si>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</si>
  <si>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</si>
  <si>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</si>
  <si>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</si>
  <si>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</si>
  <si>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</si>
  <si>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</si>
  <si>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</si>
  <si>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</si>
  <si>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</si>
  <si>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</si>
  <si>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</si>
  <si>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</si>
  <si>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</si>
  <si>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</si>
  <si>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</si>
  <si>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</si>
  <si>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</si>
  <si>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</si>
  <si>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</si>
  <si>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</si>
  <si>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</si>
  <si>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</si>
  <si>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</si>
  <si>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</si>
  <si>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</si>
  <si>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</si>
  <si>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</si>
  <si>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</si>
  <si>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</si>
  <si>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</si>
  <si>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</si>
  <si>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</si>
  <si>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</si>
  <si>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</si>
  <si>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</si>
  <si>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</si>
  <si>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</si>
  <si>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</si>
  <si>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</si>
  <si>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</si>
  <si>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</si>
  <si>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</si>
  <si>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</si>
  <si>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</si>
  <si>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</si>
  <si>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</si>
  <si>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</si>
  <si>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</si>
  <si>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</si>
  <si>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</si>
  <si>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</si>
  <si>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</si>
  <si>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</si>
  <si>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</si>
  <si>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</si>
  <si>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</si>
  <si>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</si>
  <si>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</si>
  <si>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</si>
  <si>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</si>
  <si>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</si>
  <si>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</si>
  <si>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</si>
  <si>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</si>
  <si>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</si>
  <si>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</si>
  <si>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</si>
  <si>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</si>
  <si>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</si>
  <si>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</si>
  <si>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</si>
  <si>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</si>
  <si>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</si>
  <si>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</si>
  <si>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</si>
  <si>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</si>
  <si>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</si>
  <si>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</si>
  <si>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</si>
  <si>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</si>
  <si>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</si>
  <si>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</si>
  <si>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</si>
  <si>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</si>
  <si>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</si>
  <si>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</si>
  <si>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</si>
  <si>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</si>
  <si>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</si>
  <si>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</si>
  <si>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</si>
  <si>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</si>
  <si>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</si>
  <si>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</si>
  <si>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</si>
  <si>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</si>
  <si>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</si>
  <si>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</si>
  <si>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</si>
  <si>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</si>
  <si>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</si>
  <si>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</si>
  <si>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</si>
  <si>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</si>
  <si>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</si>
  <si>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</si>
  <si>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</si>
  <si>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</si>
  <si>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</si>
  <si>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</si>
  <si>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</si>
  <si>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</si>
  <si>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</si>
  <si>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</si>
  <si>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</si>
  <si>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</si>
  <si>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</si>
  <si>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</si>
  <si>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</si>
  <si>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</si>
  <si>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</si>
  <si>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</si>
  <si>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</si>
  <si>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</si>
  <si>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</si>
  <si>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</si>
  <si>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</si>
  <si>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</si>
  <si>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</si>
  <si>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</si>
  <si>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</si>
  <si>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</si>
  <si>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</si>
  <si>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</si>
  <si>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</si>
  <si>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</si>
  <si>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</si>
  <si>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</si>
  <si>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</si>
  <si>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</si>
  <si>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</si>
  <si>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</si>
  <si>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</si>
  <si>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</si>
  <si>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</si>
  <si>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</si>
  <si>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</si>
  <si>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</si>
  <si>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</si>
  <si>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</si>
  <si>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</si>
  <si>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</si>
  <si>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</si>
  <si>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</si>
  <si>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</si>
  <si>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</si>
  <si>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</si>
  <si>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</si>
  <si>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</si>
  <si>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</si>
  <si>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</si>
  <si>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</si>
  <si>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</si>
  <si>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</si>
  <si>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</si>
  <si>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</si>
  <si>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</si>
  <si>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</si>
  <si>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</si>
  <si>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</si>
  <si>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</si>
  <si>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</si>
  <si>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</si>
  <si>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</si>
  <si>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</si>
  <si>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</si>
  <si>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</si>
  <si>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</si>
  <si>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</si>
  <si>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</si>
  <si>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</si>
  <si>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</si>
  <si>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</si>
  <si>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</si>
  <si>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</si>
  <si>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</si>
  <si>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</si>
  <si>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</si>
  <si>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</si>
  <si>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</si>
  <si>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</si>
  <si>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</si>
  <si>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</si>
  <si>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</si>
  <si>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</si>
  <si>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</si>
  <si>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</si>
  <si>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</si>
  <si>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</si>
  <si>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</si>
  <si>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</si>
  <si>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</si>
  <si>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</si>
  <si>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</si>
  <si>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</si>
  <si>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</si>
  <si>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</si>
  <si>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</si>
  <si>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</si>
  <si>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</si>
  <si>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</si>
  <si>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</si>
  <si>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</si>
  <si>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</si>
  <si>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</si>
  <si>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</si>
  <si>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</si>
  <si>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</si>
  <si>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</si>
  <si>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</si>
  <si>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</si>
  <si>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</si>
  <si>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</si>
  <si>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</si>
  <si>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</si>
  <si>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</si>
  <si>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</si>
  <si>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</si>
  <si>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</si>
  <si>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</si>
  <si>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</si>
  <si>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</si>
  <si>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</si>
  <si>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</si>
  <si>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</si>
  <si>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</si>
  <si>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</si>
  <si>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</si>
  <si>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</si>
  <si>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</si>
  <si>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</si>
  <si>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</si>
  <si>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</si>
  <si>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</si>
  <si>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</si>
  <si>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</si>
  <si>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</si>
  <si>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</si>
  <si>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</si>
  <si>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</si>
  <si>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</si>
  <si>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</si>
  <si>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</si>
  <si>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</si>
  <si>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</si>
  <si>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</si>
  <si>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</si>
  <si>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</si>
  <si>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</si>
  <si>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</si>
  <si>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</si>
  <si>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</si>
  <si>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</si>
  <si>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</si>
  <si>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</si>
  <si>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</si>
  <si>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</si>
  <si>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</si>
  <si>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</si>
  <si>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</si>
  <si>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</si>
  <si>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</si>
  <si>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</si>
  <si>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</si>
  <si>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</si>
  <si>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</si>
  <si>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</si>
  <si>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</si>
  <si>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</si>
  <si>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</si>
  <si>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</si>
  <si>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</si>
  <si>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</si>
  <si>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</si>
  <si>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</si>
  <si>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</si>
  <si>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</si>
  <si>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</si>
  <si>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</si>
  <si>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</si>
  <si>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</si>
  <si>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</si>
  <si>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</si>
  <si>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</si>
  <si>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</si>
  <si>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</si>
  <si>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</si>
  <si>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</si>
  <si>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</si>
  <si>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</si>
  <si>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</si>
  <si>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</si>
  <si>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</si>
  <si>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</si>
  <si>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</si>
  <si>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</si>
  <si>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</si>
  <si>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</si>
  <si>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</si>
  <si>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</si>
  <si>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</si>
  <si>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</si>
  <si>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</si>
  <si>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</si>
  <si>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</si>
  <si>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</si>
  <si>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</si>
  <si>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</si>
  <si>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</si>
  <si>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</si>
  <si>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</si>
  <si>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</si>
  <si>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</si>
  <si>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</si>
  <si>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</si>
  <si>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</si>
  <si>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</si>
  <si>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</si>
  <si>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</si>
  <si>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</si>
  <si>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</si>
  <si>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</si>
  <si>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</si>
  <si>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</si>
  <si>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</si>
  <si>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</si>
  <si>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</si>
  <si>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</si>
  <si>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</si>
  <si>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</si>
  <si>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</si>
  <si>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</si>
  <si>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</si>
  <si>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</si>
  <si>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</si>
  <si>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</si>
  <si>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</si>
  <si>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</si>
  <si>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</si>
  <si>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</si>
  <si>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</si>
  <si>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</si>
  <si>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</si>
  <si>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</si>
  <si>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</si>
  <si>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</si>
  <si>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</si>
  <si>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</si>
  <si>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</si>
  <si>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</si>
  <si>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</si>
  <si>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</si>
  <si>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</si>
  <si>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</si>
  <si>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</si>
  <si>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</si>
  <si>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</si>
  <si>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</si>
  <si>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</si>
  <si>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</si>
  <si>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</si>
  <si>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</si>
  <si>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</si>
  <si>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</si>
  <si>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</si>
  <si>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</si>
  <si>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</si>
  <si>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</si>
  <si>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</si>
  <si>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</si>
  <si>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</si>
  <si>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</si>
  <si>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</si>
  <si>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</si>
  <si>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</si>
  <si>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</si>
  <si>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</si>
  <si>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</si>
  <si>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</si>
  <si>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</si>
  <si>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</si>
  <si>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</si>
  <si>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</si>
  <si>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</si>
  <si>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</si>
  <si>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</si>
  <si>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</si>
  <si>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</si>
  <si>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</si>
  <si>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</si>
  <si>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</si>
  <si>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</si>
  <si>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</si>
  <si>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</si>
  <si>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</si>
  <si>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</si>
  <si>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</si>
  <si>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</si>
  <si>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</si>
  <si>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</si>
  <si>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</si>
  <si>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</si>
  <si>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</si>
  <si>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</si>
  <si>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</si>
  <si>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</si>
  <si>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</si>
  <si>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</si>
  <si>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</si>
  <si>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</si>
  <si>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</si>
  <si>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</si>
  <si>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</si>
  <si>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</si>
  <si>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</si>
  <si>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</si>
  <si>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</si>
  <si>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</si>
  <si>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</si>
  <si>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</si>
  <si>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</si>
  <si>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</si>
  <si>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</si>
  <si>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</si>
  <si>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</si>
  <si>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</si>
  <si>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</si>
  <si>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</si>
  <si>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</si>
  <si>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</si>
  <si>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</si>
  <si>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</si>
  <si>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</si>
  <si>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</si>
  <si>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</si>
  <si>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</si>
  <si>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</si>
  <si>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</si>
  <si>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</si>
  <si>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</si>
  <si>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</si>
  <si>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</si>
  <si>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</si>
  <si>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</si>
  <si>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</si>
  <si>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</si>
  <si>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</si>
  <si>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</si>
  <si>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</si>
  <si>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</si>
  <si>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</si>
  <si>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</si>
  <si>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</si>
  <si>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</si>
  <si>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</si>
  <si>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</si>
  <si>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</si>
  <si>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</si>
  <si>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</si>
  <si>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</si>
  <si>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</si>
  <si>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</si>
  <si>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</si>
  <si>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</si>
  <si>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</si>
  <si>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</si>
  <si>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</si>
  <si>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</si>
  <si>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</si>
  <si>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</si>
  <si>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</si>
  <si>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</si>
  <si>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</si>
  <si>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</si>
  <si>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</si>
  <si>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</si>
  <si>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</si>
  <si>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</si>
  <si>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</si>
  <si>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</si>
  <si>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</si>
  <si>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</si>
  <si>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</si>
  <si>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</si>
  <si>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</si>
  <si>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</si>
  <si>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</si>
  <si>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</si>
  <si>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</si>
  <si>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</si>
  <si>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</si>
  <si>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</si>
  <si>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</si>
  <si>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</si>
  <si>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</si>
  <si>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</si>
  <si>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</si>
  <si>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</si>
  <si>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</si>
  <si>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</si>
  <si>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</si>
  <si>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</si>
  <si>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</si>
  <si>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</si>
  <si>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</si>
  <si>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</si>
  <si>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</si>
  <si>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</si>
  <si>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</si>
  <si>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</si>
  <si>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</si>
  <si>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</si>
  <si>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</si>
  <si>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</si>
  <si>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</si>
  <si>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</si>
  <si>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</si>
  <si>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</si>
  <si>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</si>
  <si>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</si>
  <si>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</si>
  <si>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</si>
  <si>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</si>
  <si>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</si>
  <si>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</si>
  <si>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</si>
  <si>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</si>
  <si>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</si>
  <si>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</si>
  <si>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</si>
  <si>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</si>
  <si>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</si>
  <si>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</si>
  <si>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</si>
  <si>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</si>
  <si>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</si>
  <si>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</si>
  <si>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</si>
  <si>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</si>
  <si>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</si>
  <si>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</si>
  <si>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</si>
  <si>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</si>
  <si>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</si>
  <si>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</si>
  <si>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</si>
  <si>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</si>
  <si>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</si>
  <si>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</si>
  <si>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</si>
  <si>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</si>
  <si>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</si>
  <si>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</si>
  <si>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</si>
  <si>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</si>
  <si>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</si>
  <si>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</si>
  <si>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</si>
  <si>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</si>
  <si>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</si>
  <si>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</si>
  <si>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</si>
  <si>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</si>
  <si>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</si>
  <si>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</si>
  <si>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</si>
  <si>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</si>
  <si>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</si>
  <si>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</si>
  <si>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</si>
  <si>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</si>
  <si>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</si>
  <si>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</si>
  <si>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</si>
  <si>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</si>
  <si>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</si>
  <si>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</si>
  <si>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</si>
  <si>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</si>
  <si>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</si>
  <si>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</si>
  <si>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</si>
  <si>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</si>
  <si>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</si>
  <si>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</si>
  <si>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</si>
  <si>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</si>
  <si>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</si>
  <si>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</si>
  <si>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</si>
  <si>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</si>
  <si>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</si>
  <si>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</si>
  <si>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</si>
  <si>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</si>
  <si>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</si>
  <si>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</si>
  <si>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</si>
  <si>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</si>
  <si>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</si>
  <si>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</si>
  <si>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</si>
  <si>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</si>
  <si>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</si>
  <si>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</si>
  <si>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</si>
  <si>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</si>
  <si>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</si>
  <si>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</si>
  <si>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</si>
  <si>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</si>
  <si>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</si>
  <si>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</si>
  <si>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</si>
  <si>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</si>
  <si>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</si>
  <si>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</si>
  <si>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</si>
  <si>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</si>
  <si>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</si>
  <si>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</si>
  <si>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</si>
  <si>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</si>
  <si>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</si>
  <si>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</si>
  <si>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</si>
  <si>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</si>
  <si>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</si>
  <si>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</si>
  <si>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</si>
  <si>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</si>
  <si>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</si>
  <si>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</si>
  <si>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</si>
  <si>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</si>
  <si>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</si>
  <si>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</si>
  <si>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</si>
  <si>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</si>
  <si>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</si>
  <si>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</si>
  <si>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</si>
  <si>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</si>
  <si>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</si>
  <si>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</si>
  <si>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</si>
  <si>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</si>
  <si>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</si>
  <si>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</si>
  <si>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</si>
  <si>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</si>
  <si>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</si>
  <si>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</si>
  <si>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</si>
  <si>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</si>
  <si>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</si>
  <si>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</si>
  <si>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</si>
  <si>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</si>
  <si>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</si>
  <si>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</si>
  <si>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</si>
  <si>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</si>
  <si>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</si>
  <si>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</si>
  <si>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</si>
  <si>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</si>
  <si>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</si>
  <si>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</si>
  <si>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</si>
  <si>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</si>
  <si>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</si>
  <si>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</si>
  <si>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</si>
  <si>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</si>
  <si>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</si>
  <si>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</si>
  <si>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</si>
  <si>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</si>
  <si>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</si>
  <si>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</si>
  <si>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</si>
  <si>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</si>
  <si>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</si>
  <si>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</si>
  <si>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</si>
  <si>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</si>
  <si>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</si>
  <si>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</si>
  <si>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</si>
  <si>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</si>
  <si>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</si>
  <si>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</si>
  <si>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</si>
  <si>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</si>
  <si>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</si>
  <si>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</si>
  <si>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</si>
  <si>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</si>
  <si>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</si>
  <si>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</si>
  <si>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</si>
  <si>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</si>
  <si>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</si>
  <si>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</si>
  <si>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</si>
  <si>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</si>
  <si>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</si>
  <si>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</si>
  <si>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</si>
  <si>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</si>
  <si>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</si>
  <si>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</si>
  <si>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</si>
  <si>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</si>
  <si>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</si>
  <si>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</si>
  <si>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</si>
  <si>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</si>
  <si>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</si>
  <si>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</si>
  <si>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</si>
  <si>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</si>
  <si>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</si>
  <si>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</si>
  <si>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</si>
  <si>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</si>
  <si>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</si>
  <si>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</si>
  <si>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</si>
  <si>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</si>
  <si>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</si>
  <si>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</si>
  <si>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</si>
  <si>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</si>
  <si>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</si>
  <si>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</si>
  <si>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</si>
  <si>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</si>
  <si>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</si>
  <si>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</si>
  <si>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</si>
  <si>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</si>
  <si>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</si>
  <si>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</si>
  <si>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</si>
  <si>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</si>
  <si>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</si>
  <si>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</si>
  <si>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</si>
  <si>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</si>
  <si>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</si>
  <si>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</si>
  <si>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</si>
  <si>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</si>
  <si>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</si>
  <si>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</si>
  <si>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</si>
  <si>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</si>
  <si>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</si>
  <si>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</si>
  <si>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</si>
  <si>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</si>
  <si>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</si>
  <si>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</si>
  <si>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</si>
  <si>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</si>
  <si>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</si>
  <si>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</si>
  <si>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</si>
  <si>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</si>
  <si>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</si>
  <si>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</si>
  <si>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</si>
  <si>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</si>
  <si>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</si>
  <si>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</si>
  <si>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</si>
  <si>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</si>
  <si>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</si>
  <si>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</si>
  <si>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</si>
  <si>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</si>
  <si>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</si>
  <si>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</si>
  <si>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</si>
  <si>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</si>
  <si>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</si>
  <si>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</si>
  <si>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</si>
  <si>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</si>
  <si>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</si>
  <si>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</si>
  <si>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</si>
  <si>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</si>
  <si>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</si>
  <si>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</si>
  <si>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</si>
  <si>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</si>
  <si>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</si>
  <si>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</si>
  <si>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</si>
  <si>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</si>
  <si>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</si>
  <si>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</si>
  <si>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</si>
  <si>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</si>
  <si>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</si>
  <si>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</si>
  <si>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</si>
  <si>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</si>
  <si>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</si>
  <si>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</si>
  <si>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</si>
  <si>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</si>
  <si>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</si>
  <si>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</si>
  <si>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</si>
  <si>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</si>
  <si>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</si>
  <si>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</si>
  <si>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</si>
  <si>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</si>
  <si>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</si>
  <si>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</si>
  <si>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</si>
  <si>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</si>
  <si>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</si>
  <si>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</si>
  <si>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</si>
  <si>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</si>
  <si>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</si>
  <si>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</si>
  <si>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</si>
  <si>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</si>
  <si>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</si>
  <si>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</si>
  <si>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</si>
  <si>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</si>
  <si>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</si>
  <si>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</si>
  <si>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</si>
  <si>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</si>
  <si>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</si>
  <si>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</si>
  <si>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</si>
  <si>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</si>
  <si>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</si>
  <si>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</si>
  <si>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</si>
  <si>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</si>
  <si>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</si>
  <si>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</si>
  <si>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</si>
  <si>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</si>
  <si>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</si>
  <si>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</si>
  <si>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</si>
  <si>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</si>
  <si>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</si>
  <si>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</si>
  <si>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</si>
  <si>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</si>
  <si>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</si>
  <si>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</si>
  <si>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</si>
  <si>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</si>
  <si>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</si>
  <si>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</si>
  <si>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</si>
  <si>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</si>
  <si>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</si>
  <si>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</si>
  <si>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</si>
  <si>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</si>
  <si>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</si>
  <si>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</si>
  <si>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</si>
  <si>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</si>
  <si>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</si>
  <si>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</si>
  <si>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</si>
  <si>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</si>
  <si>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</si>
  <si>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</si>
  <si>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</si>
  <si>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</si>
  <si>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</si>
  <si>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</si>
  <si>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</si>
  <si>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</si>
  <si>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</si>
  <si>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</si>
  <si>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</si>
  <si>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</si>
  <si>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</si>
  <si>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</si>
  <si>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</si>
  <si>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</si>
  <si>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</si>
  <si>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</si>
  <si>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</si>
  <si>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</si>
  <si>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</si>
  <si>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</si>
  <si>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</si>
  <si>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</si>
  <si>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</si>
  <si>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</si>
  <si>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</si>
  <si>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</si>
  <si>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</si>
  <si>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</si>
  <si>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</si>
  <si>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</si>
  <si>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</si>
  <si>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</si>
  <si>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</si>
  <si>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</si>
  <si>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</si>
  <si>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</si>
  <si>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</si>
  <si>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</si>
  <si>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</si>
  <si>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</si>
  <si>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</si>
  <si>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</si>
  <si>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</si>
  <si>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</si>
  <si>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</si>
  <si>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</si>
  <si>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</si>
  <si>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</si>
  <si>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</si>
  <si>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</si>
  <si>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</si>
  <si>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</si>
  <si>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</si>
  <si>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</si>
  <si>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</si>
  <si>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</si>
  <si>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</si>
  <si>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</si>
  <si>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</si>
  <si>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</si>
  <si>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</si>
  <si>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</si>
  <si>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</si>
  <si>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</si>
  <si>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</si>
  <si>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</si>
  <si>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</si>
  <si>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</si>
  <si>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</si>
  <si>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</si>
  <si>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</si>
  <si>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</si>
  <si>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</si>
  <si>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</si>
  <si>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</si>
  <si>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</si>
  <si>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</si>
  <si>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</si>
  <si>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</si>
  <si>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</si>
  <si>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</si>
  <si>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</si>
  <si>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</si>
  <si>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</si>
  <si>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</si>
  <si>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</si>
  <si>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</si>
  <si>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</si>
  <si>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</si>
  <si>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</si>
  <si>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</si>
  <si>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</si>
  <si>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</si>
  <si>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</si>
  <si>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</si>
  <si>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</si>
  <si>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</si>
  <si>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</si>
  <si>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</si>
  <si>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</si>
  <si>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</si>
  <si>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</si>
  <si>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</si>
  <si>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</si>
  <si>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</si>
  <si>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</si>
  <si>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</si>
  <si>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</si>
  <si>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</si>
  <si>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</si>
  <si>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</si>
  <si>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</si>
  <si>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</si>
  <si>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</si>
  <si>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</si>
  <si>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</si>
  <si>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</si>
  <si>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</si>
  <si>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</si>
  <si>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</si>
  <si>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</si>
  <si>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</si>
  <si>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</si>
  <si>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</si>
  <si>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</si>
  <si>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</si>
  <si>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</si>
  <si>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</si>
  <si>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</si>
  <si>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</si>
  <si>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</si>
  <si>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</si>
  <si>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</si>
  <si>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</si>
  <si>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</si>
  <si>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</si>
  <si>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</si>
  <si>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</si>
  <si>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</si>
  <si>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</si>
  <si>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</si>
  <si>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</si>
  <si>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</si>
  <si>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</si>
  <si>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</si>
  <si>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</si>
  <si>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</si>
  <si>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</si>
  <si>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</si>
  <si>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</si>
  <si>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</si>
  <si>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</si>
  <si>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</si>
  <si>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</si>
  <si>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</si>
  <si>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</si>
  <si>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</si>
  <si>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</si>
  <si>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</si>
  <si>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</si>
  <si>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</si>
  <si>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</si>
  <si>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</si>
  <si>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</si>
  <si>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</si>
  <si>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</si>
  <si>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</si>
  <si>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</si>
  <si>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</si>
  <si>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</si>
  <si>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</si>
  <si>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</si>
  <si>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</si>
  <si>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</si>
  <si>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</si>
  <si>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</si>
  <si>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</si>
  <si>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</si>
  <si>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</si>
  <si>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</si>
  <si>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</si>
  <si>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</si>
  <si>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</si>
  <si>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</si>
  <si>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</si>
  <si>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</si>
  <si>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</si>
  <si>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</si>
  <si>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</si>
  <si>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</si>
  <si>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</si>
  <si>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</si>
  <si>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</si>
  <si>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</si>
  <si>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</si>
  <si>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</si>
  <si>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</si>
  <si>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</si>
  <si>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</si>
  <si>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</si>
  <si>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</si>
  <si>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</si>
  <si>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</si>
  <si>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</si>
  <si>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</si>
  <si>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</si>
  <si>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</si>
  <si>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</si>
  <si>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</si>
  <si>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</si>
  <si>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</si>
  <si>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</si>
  <si>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</si>
  <si>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</si>
  <si>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</si>
  <si>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</si>
  <si>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</si>
  <si>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</si>
  <si>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</si>
  <si>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</si>
  <si>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</si>
  <si>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</si>
  <si>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</si>
  <si>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</si>
  <si>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</si>
  <si>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</si>
  <si>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</si>
  <si>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</si>
  <si>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</si>
  <si>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</si>
  <si>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</si>
  <si>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</si>
  <si>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</si>
  <si>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</si>
  <si>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</si>
  <si>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</si>
  <si>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</si>
  <si>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</si>
  <si>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</si>
  <si>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</si>
  <si>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</si>
  <si>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</si>
  <si>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</si>
  <si>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</si>
  <si>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</si>
  <si>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</si>
  <si>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</si>
  <si>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</si>
  <si>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</si>
  <si>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</si>
  <si>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</si>
  <si>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</si>
  <si>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</si>
  <si>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</si>
  <si>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</si>
  <si>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</si>
  <si>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</si>
  <si>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</si>
  <si>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</si>
  <si>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</si>
  <si>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</si>
  <si>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</si>
  <si>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</si>
  <si>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</si>
  <si>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</si>
  <si>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</si>
  <si>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</si>
  <si>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</si>
  <si>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</si>
  <si>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</si>
  <si>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</si>
  <si>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</si>
  <si>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</si>
  <si>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</si>
  <si>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</si>
  <si>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</si>
  <si>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</si>
  <si>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</si>
  <si>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</si>
  <si>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</si>
  <si>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</si>
  <si>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</si>
  <si>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</si>
  <si>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</si>
  <si>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</si>
  <si>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</si>
  <si>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</si>
  <si>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</si>
  <si>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</si>
  <si>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</si>
  <si>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</si>
  <si>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</si>
  <si>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</si>
  <si>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</si>
  <si>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</si>
  <si>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</si>
  <si>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</si>
  <si>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</si>
  <si>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</si>
  <si>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</si>
  <si>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</si>
  <si>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</si>
  <si>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</si>
  <si>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</si>
  <si>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</si>
  <si>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</si>
  <si>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</si>
  <si>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</si>
  <si>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</si>
  <si>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</si>
  <si>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</si>
  <si>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</si>
  <si>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</si>
  <si>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</si>
  <si>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</si>
  <si>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</si>
  <si>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</si>
  <si>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</si>
  <si>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</si>
  <si>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</si>
  <si>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</si>
  <si>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</si>
  <si>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</si>
  <si>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</si>
  <si>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</si>
  <si>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</si>
  <si>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</si>
  <si>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</si>
  <si>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</si>
  <si>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</si>
  <si>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</si>
  <si>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</si>
  <si>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</si>
  <si>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</si>
  <si>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</si>
  <si>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</si>
  <si>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</si>
  <si>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</si>
  <si>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</si>
  <si>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</si>
  <si>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</si>
  <si>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</si>
  <si>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</si>
  <si>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</si>
  <si>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</si>
  <si>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</si>
  <si>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</si>
  <si>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</si>
  <si>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</si>
  <si>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</si>
  <si>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</si>
  <si>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</si>
  <si>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</si>
  <si>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</si>
  <si>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</si>
  <si>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</si>
  <si>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</si>
  <si>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</si>
  <si>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</si>
  <si>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</si>
  <si>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</si>
  <si>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</si>
  <si>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</si>
  <si>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</si>
  <si>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</si>
  <si>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</si>
  <si>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</si>
  <si>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</si>
  <si>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</si>
  <si>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</si>
  <si>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</si>
  <si>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</si>
  <si>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</si>
  <si>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</si>
  <si>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</si>
  <si>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</si>
  <si>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</si>
  <si>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</si>
  <si>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</si>
  <si>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</si>
  <si>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</si>
  <si>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</si>
  <si>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</si>
  <si>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</si>
  <si>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</si>
  <si>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</si>
  <si>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</si>
  <si>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</si>
  <si>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</si>
  <si>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</si>
  <si>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</si>
  <si>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</si>
  <si>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</si>
  <si>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</si>
  <si>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</si>
  <si>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</si>
  <si>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</si>
  <si>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</si>
  <si>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</si>
  <si>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</si>
  <si>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</si>
  <si>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</si>
  <si>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</si>
  <si>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</si>
  <si>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</si>
  <si>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</si>
  <si>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</si>
  <si>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</si>
  <si>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</si>
  <si>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</si>
  <si>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</si>
  <si>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</si>
  <si>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</si>
  <si>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</si>
  <si>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</si>
  <si>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</si>
  <si>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</si>
  <si>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</si>
  <si>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</si>
  <si>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</si>
  <si>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</si>
  <si>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</si>
  <si>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</si>
  <si>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</si>
  <si>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</si>
  <si>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</si>
  <si>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</si>
  <si>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</si>
  <si>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</si>
  <si>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</si>
  <si>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</si>
  <si>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</si>
  <si>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</si>
  <si>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</si>
  <si>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</si>
  <si>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</si>
  <si>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</si>
  <si>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</si>
  <si>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</si>
  <si>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</si>
  <si>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</si>
  <si>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</si>
  <si>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</si>
  <si>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</si>
  <si>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</si>
  <si>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</si>
  <si>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</si>
  <si>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</si>
  <si>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</si>
  <si>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</si>
  <si>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</si>
  <si>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</si>
  <si>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</si>
  <si>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</si>
  <si>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</si>
  <si>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</si>
  <si>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</si>
  <si>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</si>
  <si>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</si>
  <si>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</si>
  <si>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</si>
  <si>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</si>
  <si>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</si>
  <si>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</si>
  <si>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</si>
  <si>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</si>
  <si>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</si>
  <si>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</si>
  <si>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</si>
  <si>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</si>
  <si>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</si>
  <si>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</si>
  <si>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</si>
  <si>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</si>
  <si>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</si>
  <si>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</si>
  <si>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</si>
  <si>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</si>
  <si>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</si>
  <si>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</si>
  <si>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</si>
  <si>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</si>
  <si>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</si>
  <si>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</si>
  <si>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</si>
  <si>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</si>
  <si>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</si>
  <si>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</si>
  <si>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</si>
  <si>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</si>
  <si>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</si>
  <si>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</si>
  <si>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</si>
  <si>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</si>
  <si>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</si>
  <si>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</si>
  <si>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</si>
  <si>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</si>
  <si>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</si>
  <si>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</si>
  <si>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</si>
  <si>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</si>
  <si>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</si>
  <si>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</si>
  <si>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</si>
  <si>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</si>
  <si>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</si>
  <si>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</si>
  <si>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</si>
  <si>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</si>
  <si>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</si>
  <si>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</si>
  <si>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</si>
  <si>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</si>
  <si>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</si>
  <si>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</si>
  <si>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</si>
  <si>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</si>
  <si>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</si>
  <si>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</si>
  <si>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</si>
  <si>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</si>
  <si>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</si>
  <si>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</si>
  <si>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</si>
  <si>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</si>
  <si>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</si>
  <si>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</si>
  <si>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</si>
  <si>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</si>
  <si>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</si>
  <si>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</si>
  <si>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</si>
  <si>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</si>
  <si>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</si>
  <si>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</si>
  <si>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</si>
  <si>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</si>
  <si>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</si>
  <si>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</si>
  <si>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</si>
  <si>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</si>
  <si>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</si>
  <si>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</si>
  <si>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</si>
  <si>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</si>
  <si>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</si>
  <si>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</si>
  <si>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</si>
  <si>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</si>
  <si>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</si>
  <si>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</si>
  <si>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</si>
  <si>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</si>
  <si>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</si>
  <si>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</si>
  <si>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</si>
  <si>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</si>
  <si>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</si>
  <si>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</si>
  <si>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</si>
  <si>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</si>
  <si>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</si>
  <si>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</si>
  <si>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</si>
  <si>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</si>
  <si>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</si>
  <si>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</si>
  <si>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</si>
  <si>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</si>
  <si>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</si>
  <si>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</si>
  <si>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</si>
  <si>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</si>
  <si>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</si>
  <si>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</si>
  <si>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</si>
  <si>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</si>
  <si>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</si>
  <si>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</si>
  <si>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</si>
  <si>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</si>
  <si>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</si>
  <si>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</si>
  <si>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</si>
  <si>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</si>
  <si>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</si>
  <si>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</si>
  <si>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</si>
  <si>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</si>
  <si>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</si>
  <si>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</si>
  <si>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</si>
  <si>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</si>
  <si>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</si>
  <si>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</si>
  <si>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</si>
  <si>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</si>
  <si>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</si>
  <si>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</si>
  <si>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</si>
  <si>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</si>
  <si>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</si>
  <si>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</si>
  <si>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</si>
  <si>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</si>
  <si>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</si>
  <si>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</si>
  <si>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</si>
  <si>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</si>
  <si>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</si>
  <si>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</si>
  <si>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</si>
  <si>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</si>
  <si>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</si>
  <si>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</si>
  <si>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</si>
  <si>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</si>
  <si>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</si>
  <si>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</si>
  <si>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</si>
  <si>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</si>
  <si>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</si>
  <si>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</si>
  <si>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</si>
  <si>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</si>
  <si>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</si>
  <si>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</si>
  <si>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</si>
  <si>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</si>
  <si>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</si>
  <si>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</si>
  <si>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</si>
  <si>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</si>
  <si>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</si>
  <si>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</si>
  <si>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</si>
  <si>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</si>
  <si>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</si>
  <si>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</si>
  <si>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</si>
  <si>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</si>
  <si>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</si>
  <si>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</si>
  <si>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</si>
  <si>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</si>
  <si>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</si>
  <si>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</si>
  <si>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</si>
  <si>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</si>
  <si>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</si>
  <si>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</si>
  <si>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</si>
  <si>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</si>
  <si>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</si>
  <si>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</si>
  <si>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</si>
  <si>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</si>
  <si>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</si>
  <si>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</si>
  <si>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</si>
  <si>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</si>
  <si>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</si>
  <si>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</si>
  <si>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</si>
  <si>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</si>
  <si>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</si>
  <si>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</si>
  <si>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</si>
  <si>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</si>
  <si>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</si>
  <si>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</si>
  <si>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</si>
  <si>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</si>
  <si>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</si>
  <si>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</si>
  <si>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</si>
  <si>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</si>
  <si>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</si>
  <si>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</si>
  <si>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</si>
  <si>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</si>
  <si>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</si>
  <si>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</si>
  <si>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</si>
  <si>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</si>
  <si>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</si>
  <si>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</si>
  <si>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</si>
  <si>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</si>
  <si>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</si>
  <si>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</si>
  <si>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</si>
  <si>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</si>
  <si>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</si>
  <si>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</si>
  <si>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</si>
  <si>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</si>
  <si>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</si>
  <si>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</si>
  <si>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</si>
  <si>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</si>
  <si>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</si>
  <si>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</si>
  <si>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</si>
  <si>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</si>
  <si>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</si>
  <si>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</si>
  <si>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</si>
  <si>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</si>
  <si>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</si>
  <si>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</si>
  <si>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</si>
  <si>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</si>
  <si>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</si>
  <si>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</si>
  <si>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</si>
  <si>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</si>
  <si>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</si>
  <si>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</si>
  <si>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</si>
  <si>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</si>
  <si>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</si>
  <si>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</si>
  <si>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</si>
  <si>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</si>
  <si>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</si>
  <si>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</si>
  <si>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</si>
  <si>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</si>
  <si>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</si>
  <si>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</si>
  <si>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</si>
  <si>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</si>
  <si>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</si>
  <si>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</si>
  <si>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</si>
  <si>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</si>
  <si>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</si>
  <si>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</si>
  <si>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</si>
  <si>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</si>
  <si>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</si>
  <si>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</si>
  <si>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</si>
  <si>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</si>
  <si>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</si>
  <si>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</si>
  <si>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</si>
  <si>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</si>
  <si>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</si>
  <si>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</si>
  <si>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</si>
  <si>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</si>
  <si>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</si>
  <si>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</si>
  <si>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</si>
  <si>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</si>
  <si>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</si>
  <si>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</si>
  <si>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</si>
  <si>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</si>
  <si>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</si>
  <si>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</si>
  <si>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</si>
  <si>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</si>
  <si>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</si>
  <si>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</si>
  <si>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</si>
  <si>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</si>
  <si>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</si>
  <si>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</si>
  <si>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</si>
  <si>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</si>
  <si>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</si>
  <si>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</si>
  <si>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</si>
  <si>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</si>
  <si>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</si>
  <si>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</si>
  <si>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</si>
  <si>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</si>
  <si>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</si>
  <si>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</si>
  <si>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</si>
  <si>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</si>
  <si>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</si>
  <si>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</si>
  <si>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</si>
  <si>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</si>
  <si>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</si>
  <si>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</si>
  <si>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</si>
  <si>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</si>
  <si>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</si>
  <si>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</si>
  <si>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</si>
  <si>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</si>
  <si>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</si>
  <si>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</si>
  <si>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</si>
  <si>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</si>
  <si>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</si>
  <si>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</si>
  <si>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</si>
  <si>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</si>
  <si>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</si>
  <si>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</si>
  <si>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</si>
  <si>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</si>
  <si>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</si>
  <si>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</si>
  <si>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</si>
  <si>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</si>
  <si>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</si>
  <si>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</si>
  <si>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</si>
  <si>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</si>
  <si>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</si>
  <si>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</si>
  <si>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</si>
  <si>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</si>
  <si>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</si>
  <si>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</si>
  <si>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</si>
  <si>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</si>
  <si>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</si>
  <si>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</si>
  <si>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</si>
  <si>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</si>
  <si>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</si>
  <si>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</si>
  <si>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</si>
  <si>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</si>
  <si>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</si>
  <si>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</si>
  <si>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</si>
  <si>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</si>
  <si>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</si>
  <si>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</si>
  <si>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</si>
  <si>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</si>
  <si>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</si>
  <si>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</si>
  <si>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</si>
  <si>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</si>
  <si>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</si>
  <si>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</si>
  <si>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</si>
  <si>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</si>
  <si>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</si>
  <si>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</si>
  <si>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</si>
  <si>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</si>
  <si>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</si>
  <si>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</si>
  <si>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</si>
  <si>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</si>
  <si>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</si>
  <si>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</si>
  <si>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</si>
  <si>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</si>
  <si>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</si>
  <si>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</si>
  <si>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</si>
  <si>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</si>
  <si>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</si>
  <si>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</si>
  <si>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</si>
  <si>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</si>
  <si>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</si>
  <si>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</si>
  <si>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</si>
  <si>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</si>
  <si>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</si>
  <si>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</si>
  <si>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</si>
  <si>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</si>
  <si>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</si>
  <si>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</si>
  <si>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</si>
  <si>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</si>
  <si>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</si>
  <si>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</si>
  <si>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</si>
  <si>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</si>
  <si>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</si>
  <si>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</si>
  <si>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</si>
  <si>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</si>
  <si>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</si>
  <si>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</si>
  <si>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</si>
  <si>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</si>
  <si>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</si>
  <si>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</si>
  <si>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</si>
  <si>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</si>
  <si>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</si>
  <si>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</si>
  <si>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</si>
  <si>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</si>
  <si>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</si>
  <si>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</si>
  <si>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</si>
  <si>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</si>
  <si>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</si>
  <si>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</si>
  <si>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</si>
  <si>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</si>
  <si>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</si>
  <si>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</si>
  <si>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</si>
  <si>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</si>
  <si>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</si>
  <si>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</si>
  <si>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</si>
  <si>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</si>
  <si>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</si>
  <si>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</si>
  <si>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</si>
  <si>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</si>
  <si>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</si>
  <si>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</si>
  <si>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</si>
  <si>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</si>
  <si>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</si>
  <si>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</si>
  <si>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</si>
  <si>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</si>
  <si>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</si>
  <si>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</si>
  <si>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</si>
  <si>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</si>
  <si>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</si>
  <si>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</si>
  <si>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</si>
  <si>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</si>
  <si>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</si>
  <si>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</si>
  <si>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</si>
  <si>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</si>
  <si>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</si>
  <si>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</si>
  <si>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</si>
  <si>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</si>
  <si>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</si>
  <si>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</si>
  <si>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</si>
  <si>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</si>
  <si>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</si>
  <si>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</si>
  <si>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</si>
  <si>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</si>
  <si>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</si>
  <si>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</si>
  <si>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</si>
  <si>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</si>
  <si>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</si>
  <si>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</si>
  <si>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</si>
  <si>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</si>
  <si>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</si>
  <si>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</si>
  <si>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</si>
  <si>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</si>
  <si>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</si>
  <si>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</si>
  <si>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</si>
  <si>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</si>
  <si>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</si>
  <si>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</si>
  <si>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</si>
  <si>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</si>
  <si>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</si>
  <si>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</si>
  <si>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</si>
  <si>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</si>
  <si>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</si>
  <si>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</si>
  <si>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</si>
  <si>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</si>
  <si>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</si>
  <si>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</si>
  <si>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</si>
  <si>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</si>
  <si>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</si>
  <si>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</si>
  <si>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</si>
  <si>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</si>
  <si>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</si>
  <si>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</si>
  <si>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</si>
  <si>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</si>
  <si>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</si>
  <si>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</si>
  <si>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</si>
  <si>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</si>
  <si>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</si>
  <si>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</si>
  <si>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</si>
  <si>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</si>
  <si>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</si>
  <si>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</si>
  <si>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</si>
  <si>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</si>
  <si>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</si>
  <si>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</si>
  <si>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</si>
  <si>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</si>
  <si>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</si>
  <si>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</si>
  <si>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</si>
  <si>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</si>
  <si>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</si>
  <si>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</si>
  <si>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</si>
  <si>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</si>
  <si>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</si>
  <si>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</si>
  <si>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</si>
  <si>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</si>
  <si>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</si>
  <si>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</si>
  <si>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</si>
  <si>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</si>
  <si>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</si>
  <si>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</si>
  <si>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</si>
  <si>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</si>
  <si>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</si>
  <si>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</si>
  <si>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</si>
  <si>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</si>
  <si>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</si>
  <si>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</si>
  <si>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</si>
  <si>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</si>
  <si>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</si>
  <si>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</si>
  <si>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</si>
  <si>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</si>
  <si>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</si>
  <si>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</si>
  <si>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</si>
  <si>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</si>
  <si>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</si>
  <si>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</si>
  <si>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</si>
  <si>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</si>
  <si>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</si>
  <si>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</si>
  <si>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</si>
  <si>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</si>
  <si>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</si>
  <si>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</si>
  <si>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</si>
  <si>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</si>
  <si>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</si>
  <si>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</si>
  <si>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</si>
  <si>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</si>
  <si>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</si>
  <si>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</si>
  <si>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</si>
  <si>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</si>
  <si>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</si>
  <si>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</si>
  <si>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</si>
  <si>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</si>
  <si>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</si>
  <si>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</si>
  <si>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</si>
  <si>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</si>
  <si>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</si>
  <si>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</si>
  <si>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</si>
  <si>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</si>
  <si>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</si>
  <si>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</si>
  <si>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</si>
  <si>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</si>
  <si>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</si>
  <si>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</si>
  <si>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</si>
  <si>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</si>
  <si>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</si>
  <si>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</si>
  <si>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</si>
  <si>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</si>
  <si>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</si>
  <si>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</si>
  <si>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</si>
  <si>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</si>
  <si>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</si>
  <si>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</si>
  <si>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</si>
  <si>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</si>
  <si>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</si>
  <si>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</si>
  <si>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</si>
  <si>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</si>
  <si>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</si>
  <si>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</si>
  <si>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</si>
  <si>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</si>
  <si>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</si>
  <si>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</si>
  <si>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</si>
  <si>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</si>
  <si>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</si>
  <si>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</si>
  <si>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</si>
  <si>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</si>
  <si>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</si>
  <si>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</si>
  <si>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</si>
  <si>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</si>
  <si>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</si>
  <si>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</si>
  <si>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</si>
  <si>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</si>
  <si>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</si>
  <si>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</si>
  <si>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</si>
  <si>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</si>
  <si>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</si>
  <si>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</si>
  <si>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</si>
  <si>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</si>
  <si>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</si>
  <si>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</si>
  <si>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</si>
  <si>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</si>
  <si>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</si>
  <si>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</si>
  <si>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</si>
  <si>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</si>
  <si>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</si>
  <si>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</si>
  <si>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</si>
  <si>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</si>
  <si>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</si>
  <si>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</si>
  <si>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</si>
  <si>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</si>
  <si>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</si>
  <si>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</si>
  <si>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</si>
  <si>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</si>
  <si>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</si>
  <si>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</si>
  <si>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</si>
  <si>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</si>
  <si>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</si>
  <si>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</si>
  <si>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</si>
  <si>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</si>
  <si>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</si>
  <si>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</si>
  <si>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</si>
  <si>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</si>
  <si>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</si>
  <si>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</si>
  <si>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</si>
  <si>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</si>
  <si>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</si>
  <si>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</si>
  <si>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</si>
  <si>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</si>
  <si>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</si>
  <si>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</si>
  <si>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</si>
  <si>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</si>
  <si>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</si>
  <si>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</si>
  <si>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</si>
  <si>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</si>
  <si>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</si>
  <si>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</si>
  <si>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</si>
  <si>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</si>
  <si>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</si>
  <si>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</si>
  <si>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</si>
  <si>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</si>
  <si>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</si>
  <si>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</si>
  <si>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</si>
  <si>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</si>
  <si>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</si>
  <si>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</si>
  <si>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</si>
  <si>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</si>
  <si>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</si>
  <si>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</si>
  <si>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</si>
  <si>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</si>
  <si>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</si>
  <si>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</si>
  <si>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</si>
  <si>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</si>
  <si>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</si>
  <si>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</si>
  <si>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</si>
  <si>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</si>
  <si>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</si>
  <si>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</si>
  <si>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</si>
  <si>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</si>
  <si>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</si>
  <si>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</si>
  <si>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</si>
  <si>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</si>
  <si>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</si>
  <si>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</si>
  <si>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</si>
  <si>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</si>
  <si>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</si>
  <si>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</si>
  <si>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</si>
  <si>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</si>
  <si>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</si>
  <si>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</si>
  <si>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</si>
  <si>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</si>
  <si>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</si>
  <si>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</si>
  <si>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</si>
  <si>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</si>
  <si>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</si>
  <si>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</si>
  <si>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</si>
  <si>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</si>
  <si>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</si>
  <si>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</si>
  <si>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</si>
  <si>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</si>
  <si>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</si>
  <si>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</si>
  <si>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</si>
  <si>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</si>
  <si>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</si>
  <si>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</si>
  <si>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</si>
  <si>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</si>
  <si>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</si>
  <si>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</si>
  <si>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</si>
  <si>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</si>
  <si>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</si>
  <si>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</si>
  <si>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</si>
  <si>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</si>
  <si>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</si>
  <si>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</si>
  <si>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</si>
  <si>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</si>
  <si>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</si>
  <si>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</si>
  <si>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</si>
  <si>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</si>
  <si>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</si>
  <si>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</si>
  <si>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</si>
  <si>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</si>
  <si>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</si>
  <si>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</si>
  <si>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</si>
  <si>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</si>
  <si>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</si>
  <si>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</si>
  <si>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</si>
  <si>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</si>
  <si>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</si>
  <si>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</si>
  <si>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</si>
  <si>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</si>
  <si>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</si>
  <si>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</si>
  <si>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</si>
  <si>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</si>
  <si>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</si>
  <si>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</si>
  <si>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</si>
  <si>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</si>
  <si>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</si>
  <si>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</si>
  <si>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</si>
  <si>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</si>
  <si>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</si>
  <si>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</si>
  <si>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</si>
  <si>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</si>
  <si>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</si>
  <si>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</si>
  <si>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</si>
  <si>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</si>
  <si>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</si>
  <si>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</si>
  <si>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</si>
  <si>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</si>
  <si>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</si>
  <si>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</si>
  <si>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</si>
  <si>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</si>
  <si>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</si>
  <si>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</si>
  <si>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</si>
  <si>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</si>
  <si>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</si>
  <si>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</si>
  <si>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</si>
  <si>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</si>
  <si>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</si>
  <si>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</si>
  <si>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</si>
  <si>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</si>
  <si>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</si>
  <si>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</si>
  <si>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</si>
  <si>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</si>
  <si>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</si>
  <si>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</si>
  <si>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</si>
  <si>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</si>
  <si>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</si>
  <si>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</si>
  <si>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</si>
  <si>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</si>
  <si>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</si>
  <si>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</si>
  <si>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</si>
  <si>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</si>
  <si>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</si>
  <si>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</si>
  <si>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</si>
  <si>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</si>
  <si>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</si>
  <si>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</si>
  <si>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</si>
  <si>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</si>
  <si>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</si>
  <si>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</si>
  <si>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</si>
  <si>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</si>
  <si>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</si>
  <si>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</si>
  <si>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</si>
  <si>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</si>
  <si>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</si>
  <si>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</si>
  <si>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</si>
  <si>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</si>
  <si>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</si>
  <si>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</si>
  <si>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</si>
  <si>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</si>
  <si>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</si>
  <si>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</si>
  <si>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</si>
  <si>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</si>
  <si>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</si>
  <si>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</si>
  <si>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</si>
  <si>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</si>
  <si>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</si>
  <si>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</si>
  <si>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</si>
  <si>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</si>
  <si>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</si>
  <si>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</si>
  <si>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</si>
  <si>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</si>
  <si>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</si>
  <si>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</si>
  <si>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</si>
  <si>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</si>
  <si>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</si>
  <si>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</si>
  <si>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</si>
  <si>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</si>
  <si>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</si>
  <si>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</si>
  <si>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</si>
  <si>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</si>
  <si>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</si>
  <si>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</si>
  <si>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</si>
  <si>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</si>
  <si>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</si>
  <si>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</si>
  <si>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</si>
  <si>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</si>
  <si>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</si>
  <si>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</si>
  <si>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</si>
  <si>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</si>
  <si>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</si>
  <si>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</si>
  <si>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</si>
  <si>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</si>
  <si>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</si>
  <si>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</si>
  <si>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</si>
  <si>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</si>
  <si>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</si>
  <si>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</si>
  <si>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</si>
  <si>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</si>
  <si>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</si>
  <si>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</si>
  <si>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</si>
  <si>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</si>
  <si>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</si>
  <si>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</si>
  <si>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</si>
  <si>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</si>
  <si>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</si>
  <si>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</si>
  <si>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</si>
  <si>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</si>
  <si>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</si>
  <si>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</si>
  <si>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</si>
  <si>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</si>
  <si>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</si>
  <si>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</si>
  <si>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</si>
  <si>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</si>
  <si>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</si>
  <si>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</si>
  <si>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</si>
  <si>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</si>
  <si>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</si>
  <si>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</si>
  <si>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</si>
  <si>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</si>
  <si>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</si>
  <si>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</si>
  <si>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</si>
  <si>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</si>
  <si>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</si>
  <si>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</si>
  <si>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</si>
  <si>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</si>
  <si>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</si>
  <si>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</si>
  <si>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</si>
  <si>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</si>
  <si>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</si>
  <si>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</si>
  <si>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</si>
  <si>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</si>
  <si>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</si>
  <si>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</si>
  <si>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</si>
  <si>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</si>
  <si>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</si>
  <si>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</si>
  <si>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</si>
  <si>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</si>
  <si>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</si>
  <si>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</si>
  <si>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</si>
  <si>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</si>
  <si>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</si>
  <si>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</si>
  <si>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</si>
  <si>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</si>
  <si>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</si>
  <si>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</si>
  <si>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</si>
  <si>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</si>
  <si>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</si>
  <si>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</si>
  <si>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</si>
  <si>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</si>
  <si>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</si>
  <si>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</si>
  <si>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</si>
  <si>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</si>
  <si>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</si>
  <si>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</si>
  <si>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</si>
  <si>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</si>
  <si>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</si>
  <si>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</si>
  <si>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</si>
  <si>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</si>
  <si>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</si>
  <si>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</si>
  <si>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</si>
  <si>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</si>
  <si>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</si>
  <si>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</si>
  <si>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</si>
  <si>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</si>
  <si>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</si>
  <si>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</si>
  <si>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</si>
  <si>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</si>
  <si>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</si>
  <si>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</si>
  <si>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</si>
  <si>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</si>
  <si>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</si>
  <si>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</si>
  <si>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</si>
  <si>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</si>
  <si>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</si>
  <si>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</si>
  <si>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</si>
  <si>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</si>
  <si>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</si>
  <si>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</si>
  <si>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</si>
  <si>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</si>
  <si>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</si>
  <si>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</si>
  <si>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</si>
  <si>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</si>
  <si>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</si>
  <si>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</si>
  <si>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</si>
  <si>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</si>
  <si>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</si>
  <si>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</si>
  <si>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</si>
  <si>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</si>
  <si>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</si>
  <si>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</si>
  <si>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</si>
  <si>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</si>
  <si>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</si>
  <si>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</si>
  <si>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</si>
  <si>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</si>
  <si>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</si>
  <si>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</si>
  <si>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</si>
  <si>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</si>
  <si>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</si>
  <si>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</si>
  <si>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</si>
  <si>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</si>
  <si>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</si>
  <si>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</si>
  <si>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</si>
  <si>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</si>
  <si>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</si>
  <si>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</si>
  <si>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</si>
  <si>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</si>
  <si>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</si>
  <si>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</si>
  <si>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</si>
  <si>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</si>
  <si>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</si>
  <si>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</si>
  <si>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</si>
  <si>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</si>
  <si>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</si>
  <si>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</si>
  <si>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</si>
  <si>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</si>
  <si>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</si>
  <si>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</si>
  <si>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</si>
  <si>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</si>
  <si>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</si>
  <si>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</si>
  <si>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</si>
  <si>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</si>
  <si>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</si>
  <si>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</si>
  <si>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</si>
  <si>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</si>
  <si>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</si>
  <si>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</si>
  <si>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</si>
  <si>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</si>
  <si>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</si>
  <si>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</si>
  <si>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</si>
  <si>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</si>
  <si>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</si>
  <si>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</si>
  <si>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</si>
  <si>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</si>
  <si>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</si>
  <si>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</si>
  <si>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</si>
  <si>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</si>
  <si>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</si>
  <si>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</si>
  <si>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</si>
  <si>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</si>
  <si>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</si>
  <si>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</si>
  <si>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</si>
  <si>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</si>
  <si>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</si>
  <si>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</si>
  <si>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</si>
  <si>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</si>
  <si>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</si>
  <si>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</si>
  <si>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</si>
  <si>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</si>
  <si>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</si>
  <si>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</si>
  <si>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</si>
  <si>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</si>
  <si>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</si>
  <si>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</si>
  <si>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</si>
  <si>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</si>
  <si>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</si>
  <si>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</si>
  <si>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</si>
  <si>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</si>
  <si>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</si>
  <si>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</si>
  <si>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</si>
  <si>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</si>
  <si>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</si>
  <si>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</si>
  <si>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</si>
  <si>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</si>
  <si>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</si>
  <si>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</si>
  <si>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</si>
  <si>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</si>
  <si>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</si>
  <si>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</si>
  <si>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</si>
  <si>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</si>
  <si>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</si>
  <si>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</si>
  <si>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</si>
  <si>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</si>
  <si>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</si>
  <si>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</si>
  <si>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</si>
  <si>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</si>
  <si>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</si>
  <si>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</si>
  <si>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</si>
  <si>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</si>
  <si>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</si>
  <si>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</si>
  <si>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</si>
  <si>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</si>
  <si>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</si>
  <si>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</si>
  <si>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</si>
  <si>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</si>
  <si>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</si>
  <si>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</si>
  <si>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</si>
  <si>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</si>
  <si>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</si>
  <si>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</si>
  <si>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</si>
  <si>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</si>
  <si>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</si>
  <si>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</si>
  <si>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</si>
  <si>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</si>
  <si>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</si>
  <si>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</si>
  <si>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</si>
  <si>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</si>
  <si>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</si>
  <si>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</si>
  <si>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</si>
  <si>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</si>
  <si>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</si>
  <si>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</si>
  <si>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</si>
  <si>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</si>
  <si>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</si>
  <si>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</si>
  <si>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</si>
  <si>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</si>
  <si>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</si>
  <si>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</si>
  <si>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</si>
  <si>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</si>
  <si>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</si>
  <si>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</si>
  <si>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</si>
  <si>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</si>
  <si>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</si>
  <si>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</si>
  <si>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</si>
  <si>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</si>
  <si>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</si>
  <si>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</si>
  <si>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</si>
  <si>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</si>
  <si>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</si>
  <si>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</si>
  <si>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</si>
  <si>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</si>
  <si>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</si>
  <si>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</si>
  <si>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</si>
  <si>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</si>
  <si>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</si>
  <si>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</si>
  <si>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</si>
  <si>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</si>
  <si>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</si>
  <si>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</si>
  <si>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</si>
  <si>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</si>
  <si>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</si>
  <si>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</si>
  <si>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</si>
  <si>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</si>
  <si>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</si>
  <si>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</si>
  <si>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</si>
  <si>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</si>
  <si>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</si>
  <si>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</si>
  <si>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</si>
  <si>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</si>
  <si>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</si>
  <si>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</si>
  <si>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</si>
  <si>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</si>
  <si>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</si>
  <si>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</si>
  <si>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</si>
  <si>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</si>
  <si>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</si>
  <si>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</si>
  <si>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</si>
  <si>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</si>
  <si>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</si>
  <si>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</si>
  <si>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</si>
  <si>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</si>
  <si>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</si>
  <si>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</si>
  <si>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</si>
  <si>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</si>
  <si>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</si>
  <si>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</si>
  <si>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</si>
  <si>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</si>
  <si>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</si>
  <si>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</si>
  <si>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</si>
  <si>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</si>
  <si>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</si>
  <si>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</si>
  <si>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</si>
  <si>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</si>
  <si>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</si>
  <si>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</si>
  <si>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</si>
  <si>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</si>
  <si>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</si>
  <si>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</si>
  <si>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</si>
  <si>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</si>
  <si>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</si>
  <si>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</si>
  <si>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</si>
  <si>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</si>
  <si>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</si>
  <si>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</si>
  <si>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</si>
  <si>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</si>
  <si>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</si>
  <si>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</si>
  <si>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</si>
  <si>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</si>
  <si>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</si>
  <si>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</si>
  <si>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</si>
  <si>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</si>
  <si>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</si>
  <si>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</si>
  <si>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</si>
  <si>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</si>
  <si>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</si>
  <si>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</si>
  <si>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</si>
  <si>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</si>
  <si>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</si>
  <si>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</si>
  <si>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</si>
  <si>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</si>
  <si>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</si>
  <si>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</si>
  <si>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</si>
  <si>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</si>
  <si>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</si>
  <si>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</si>
  <si>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</si>
  <si>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</si>
  <si>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</si>
  <si>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</si>
  <si>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</si>
  <si>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</si>
  <si>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</si>
  <si>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</si>
  <si>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</si>
  <si>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</si>
  <si>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</si>
  <si>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</si>
  <si>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</si>
  <si>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</si>
  <si>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</si>
  <si>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</si>
  <si>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</si>
  <si>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</si>
  <si>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</si>
  <si>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</si>
  <si>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</si>
  <si>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</si>
  <si>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</si>
  <si>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</si>
  <si>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</si>
  <si>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</si>
  <si>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</si>
  <si>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</si>
  <si>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</si>
  <si>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</si>
  <si>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</si>
  <si>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</si>
  <si>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</si>
  <si>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</si>
  <si>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</si>
  <si>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</si>
  <si>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</si>
  <si>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</si>
  <si>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</si>
  <si>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</si>
  <si>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</si>
  <si>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</si>
  <si>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</si>
  <si>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</si>
  <si>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</si>
  <si>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</si>
  <si>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</si>
  <si>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</si>
  <si>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</si>
  <si>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</si>
  <si>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</si>
  <si>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</si>
  <si>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</si>
  <si>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</si>
  <si>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</si>
  <si>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</si>
  <si>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</si>
  <si>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</si>
  <si>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</si>
  <si>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</si>
  <si>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</si>
  <si>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</si>
  <si>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</si>
  <si>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</si>
  <si>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</si>
  <si>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</si>
  <si>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</si>
  <si>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</si>
  <si>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</si>
  <si>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</si>
  <si>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</si>
  <si>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</si>
  <si>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</si>
  <si>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</si>
  <si>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</si>
  <si>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</si>
  <si>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</si>
  <si>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</si>
  <si>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</si>
  <si>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</si>
  <si>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</si>
  <si>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</si>
  <si>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</si>
  <si>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</si>
  <si>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</si>
  <si>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</si>
  <si>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</si>
  <si>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</si>
  <si>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</si>
  <si>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</si>
  <si>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</si>
  <si>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</si>
  <si>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</si>
  <si>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</si>
  <si>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</si>
  <si>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</si>
  <si>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</si>
  <si>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</si>
  <si>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</si>
  <si>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</si>
  <si>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</si>
  <si>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</si>
  <si>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</si>
  <si>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</si>
  <si>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</si>
  <si>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</si>
  <si>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</si>
  <si>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</si>
  <si>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</si>
  <si>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</si>
  <si>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</si>
  <si>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</si>
  <si>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</si>
  <si>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</si>
  <si>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</si>
  <si>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</si>
  <si>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</si>
  <si>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</si>
  <si>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</si>
  <si>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</si>
  <si>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</si>
  <si>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</si>
  <si>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</si>
  <si>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</si>
  <si>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</si>
  <si>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</si>
  <si>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</si>
  <si>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</si>
  <si>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</si>
  <si>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</si>
  <si>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</si>
  <si>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</si>
  <si>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</si>
  <si>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</si>
  <si>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</si>
  <si>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</si>
  <si>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</si>
  <si>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</si>
  <si>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</si>
  <si>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</si>
  <si>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</si>
  <si>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</si>
  <si>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</si>
  <si>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</si>
  <si>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</si>
  <si>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</si>
  <si>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</si>
  <si>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</si>
  <si>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</si>
  <si>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</si>
  <si>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</si>
  <si>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</si>
  <si>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</si>
  <si>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</si>
  <si>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</si>
  <si>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</si>
  <si>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</si>
  <si>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</si>
  <si>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</si>
  <si>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</si>
  <si>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</si>
  <si>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</si>
  <si>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</si>
  <si>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</si>
  <si>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</si>
  <si>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</si>
  <si>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</si>
  <si>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</si>
  <si>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</si>
  <si>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</si>
  <si>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</si>
  <si>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</si>
  <si>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</si>
  <si>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</si>
  <si>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</si>
  <si>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</si>
  <si>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</si>
  <si>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</si>
  <si>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</si>
  <si>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</si>
  <si>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</si>
  <si>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</si>
  <si>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</si>
  <si>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</si>
  <si>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</si>
  <si>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</si>
  <si>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</si>
  <si>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</si>
  <si>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</si>
  <si>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</si>
  <si>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</si>
  <si>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</si>
  <si>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</si>
  <si>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</si>
  <si>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</si>
  <si>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</si>
  <si>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</si>
  <si>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</si>
  <si>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</si>
  <si>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</si>
  <si>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</si>
  <si>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</si>
  <si>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</si>
  <si>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</si>
  <si>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</si>
  <si>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</si>
  <si>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</si>
  <si>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</si>
  <si>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</si>
  <si>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</si>
  <si>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</si>
  <si>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</si>
  <si>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</si>
  <si>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</si>
  <si>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</si>
  <si>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</si>
  <si>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</si>
  <si>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</si>
  <si>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</si>
  <si>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</si>
  <si>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</si>
  <si>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</si>
  <si>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</si>
  <si>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</si>
  <si>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</si>
  <si>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</si>
  <si>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</si>
  <si>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</si>
  <si>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</si>
  <si>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</si>
  <si>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</si>
  <si>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</si>
  <si>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</si>
  <si>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</si>
  <si>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</si>
  <si>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</si>
  <si>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</si>
  <si>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</si>
  <si>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</si>
  <si>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</si>
  <si>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</si>
  <si>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</si>
  <si>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</si>
  <si>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</si>
  <si>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</si>
  <si>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</si>
  <si>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</si>
  <si>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</si>
  <si>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</si>
  <si>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</si>
  <si>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</si>
  <si>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</si>
  <si>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</si>
  <si>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</si>
  <si>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</si>
  <si>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</si>
  <si>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</si>
  <si>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</si>
  <si>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</si>
  <si>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</si>
  <si>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</si>
  <si>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</si>
  <si>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</si>
  <si>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</si>
  <si>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</si>
  <si>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</si>
  <si>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</si>
  <si>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</si>
  <si>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</si>
  <si>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</si>
  <si>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</si>
  <si>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</si>
  <si>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</si>
  <si>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</si>
  <si>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</si>
  <si>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</si>
  <si>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</si>
  <si>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</si>
  <si>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</si>
  <si>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</si>
  <si>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</si>
  <si>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</si>
  <si>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</si>
  <si>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</si>
  <si>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</si>
  <si>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</si>
  <si>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</si>
  <si>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</si>
  <si>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</si>
  <si>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</si>
  <si>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</si>
  <si>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</si>
  <si>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</si>
  <si>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</si>
  <si>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</si>
  <si>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</si>
  <si>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</si>
  <si>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</si>
  <si>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</si>
  <si>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</si>
  <si>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</si>
  <si>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</si>
  <si>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</si>
  <si>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</si>
  <si>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</si>
  <si>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</si>
  <si>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</si>
  <si>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</si>
  <si>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</si>
  <si>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</si>
  <si>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</si>
  <si>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</si>
  <si>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</si>
  <si>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</si>
  <si>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</si>
  <si>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</si>
  <si>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</si>
  <si>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</si>
  <si>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</si>
  <si>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</si>
  <si>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</si>
  <si>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</si>
  <si>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</si>
  <si>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</si>
  <si>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</si>
  <si>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</si>
  <si>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</si>
  <si>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</si>
  <si>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</si>
  <si>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</si>
  <si>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</si>
  <si>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</si>
  <si>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</si>
  <si>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</si>
  <si>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</si>
  <si>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</si>
  <si>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</si>
  <si>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</si>
  <si>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</si>
  <si>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</si>
  <si>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</si>
  <si>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</si>
  <si>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</si>
  <si>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</si>
  <si>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</si>
  <si>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</si>
  <si>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</si>
  <si>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</si>
  <si>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</si>
  <si>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</si>
  <si>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</si>
  <si>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</si>
  <si>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</si>
  <si>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</si>
  <si>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</si>
  <si>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</si>
  <si>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</si>
  <si>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</si>
  <si>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</si>
  <si>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</si>
  <si>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</si>
  <si>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</si>
  <si>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</si>
  <si>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</si>
  <si>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</si>
  <si>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</si>
  <si>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</si>
  <si>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</si>
  <si>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</si>
  <si>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</si>
  <si>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</si>
  <si>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</si>
  <si>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</si>
  <si>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</si>
  <si>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</si>
  <si>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</si>
  <si>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</si>
  <si>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</si>
  <si>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</si>
  <si>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</si>
  <si>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</si>
  <si>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</si>
  <si>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</si>
  <si>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</si>
  <si>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</si>
  <si>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</si>
  <si>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</si>
  <si>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</si>
  <si>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</si>
  <si>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</si>
  <si>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</si>
  <si>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</si>
  <si>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</si>
  <si>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</si>
  <si>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</si>
  <si>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</si>
  <si>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</si>
  <si>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</si>
  <si>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</si>
  <si>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</si>
  <si>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</si>
  <si>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</si>
  <si>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</si>
  <si>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</si>
  <si>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</si>
  <si>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</si>
  <si>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</si>
  <si>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</si>
  <si>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</si>
  <si>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</si>
  <si>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</si>
  <si>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</si>
  <si>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</si>
  <si>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</si>
  <si>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</si>
  <si>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</si>
  <si>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</si>
  <si>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</si>
  <si>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</si>
  <si>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</si>
  <si>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</si>
  <si>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</si>
  <si>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</si>
  <si>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</si>
  <si>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</si>
  <si>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</si>
  <si>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</si>
  <si>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</si>
  <si>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</si>
  <si>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</si>
  <si>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</si>
  <si>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</si>
  <si>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</si>
  <si>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</si>
  <si>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</si>
  <si>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</si>
  <si>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</si>
  <si>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</si>
  <si>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</si>
  <si>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</si>
  <si>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</si>
  <si>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</si>
  <si>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</si>
  <si>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</si>
  <si>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</si>
  <si>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</si>
  <si>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</si>
  <si>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</si>
  <si>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</si>
  <si>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</si>
  <si>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</si>
  <si>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</si>
  <si>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</si>
  <si>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</si>
  <si>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</si>
  <si>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</si>
  <si>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</si>
  <si>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</si>
  <si>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</si>
  <si>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</si>
  <si>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</si>
  <si>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</si>
  <si>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</si>
  <si>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</si>
  <si>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</si>
  <si>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</si>
  <si>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</si>
  <si>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</si>
  <si>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</si>
  <si>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</si>
  <si>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</si>
  <si>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</si>
  <si>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</si>
  <si>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</si>
  <si>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</si>
  <si>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</si>
  <si>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</si>
  <si>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</si>
  <si>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</si>
  <si>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</si>
  <si>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</si>
  <si>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</si>
  <si>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</si>
  <si>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</si>
  <si>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</si>
  <si>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</si>
  <si>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</si>
  <si>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</si>
  <si>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</si>
  <si>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</si>
  <si>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</si>
  <si>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</si>
  <si>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</si>
  <si>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</si>
  <si>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</si>
  <si>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</si>
  <si>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</si>
  <si>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</si>
  <si>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</si>
  <si>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</si>
  <si>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</si>
  <si>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</si>
  <si>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</si>
  <si>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</si>
  <si>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</si>
  <si>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</si>
  <si>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</si>
  <si>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</si>
  <si>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</si>
  <si>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</si>
  <si>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</si>
  <si>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</si>
  <si>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</si>
  <si>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</si>
  <si>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</si>
  <si>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</si>
  <si>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</si>
  <si>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</si>
  <si>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</si>
  <si>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</si>
  <si>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</si>
  <si>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</si>
  <si>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</si>
  <si>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</si>
  <si>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</si>
  <si>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</si>
  <si>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</si>
  <si>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</si>
  <si>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</si>
  <si>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</si>
  <si>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</si>
  <si>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</si>
  <si>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</si>
  <si>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</si>
  <si>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</si>
  <si>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</si>
  <si>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</si>
  <si>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</si>
  <si>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</si>
  <si>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</si>
  <si>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</si>
  <si>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</si>
  <si>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</si>
  <si>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</si>
  <si>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</si>
  <si>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</si>
  <si>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</si>
  <si>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</si>
  <si>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</si>
  <si>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</si>
  <si>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</si>
  <si>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</si>
  <si>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</si>
  <si>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</si>
  <si>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</si>
  <si>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</si>
  <si>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</si>
  <si>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</si>
  <si>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</si>
  <si>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</si>
  <si>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</si>
  <si>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</si>
  <si>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</si>
  <si>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</si>
  <si>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</si>
  <si>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</si>
  <si>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</si>
  <si>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</si>
  <si>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</si>
  <si>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</si>
  <si>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</si>
  <si>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</si>
  <si>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</si>
  <si>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</si>
  <si>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</si>
  <si>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</si>
  <si>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</si>
  <si>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</si>
  <si>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</si>
  <si>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</si>
  <si>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</si>
  <si>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</si>
  <si>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</si>
  <si>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</si>
  <si>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</si>
  <si>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</si>
  <si>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</si>
  <si>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</si>
  <si>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</si>
  <si>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</si>
  <si>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</si>
  <si>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</si>
  <si>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</si>
  <si>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</si>
  <si>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</si>
  <si>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</si>
  <si>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</si>
  <si>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</si>
  <si>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</si>
  <si>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</si>
  <si>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</si>
  <si>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</si>
  <si>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</si>
  <si>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</si>
  <si>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</si>
  <si>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</si>
  <si>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</si>
  <si>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</si>
  <si>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</si>
  <si>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</si>
  <si>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</si>
  <si>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</si>
  <si>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</si>
  <si>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</si>
  <si>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</si>
  <si>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</si>
  <si>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</si>
  <si>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</si>
  <si>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</si>
  <si>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</si>
  <si>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</si>
  <si>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</si>
  <si>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</si>
  <si>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</si>
  <si>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</si>
  <si>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</si>
  <si>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</si>
  <si>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</si>
  <si>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</si>
  <si>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</si>
  <si>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</si>
  <si>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</si>
  <si>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</si>
  <si>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</si>
  <si>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</si>
  <si>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</si>
  <si>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</si>
  <si>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</si>
  <si>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</si>
  <si>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</si>
  <si>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</si>
  <si>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</si>
  <si>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</si>
  <si>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</si>
  <si>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</si>
  <si>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</si>
  <si>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</si>
  <si>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</si>
  <si>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</si>
  <si>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</si>
  <si>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</si>
  <si>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</si>
  <si>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</si>
  <si>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</si>
  <si>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</si>
  <si>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</si>
  <si>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</si>
  <si>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</si>
  <si>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</si>
  <si>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</si>
  <si>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</si>
  <si>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</si>
  <si>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</si>
  <si>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</si>
  <si>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</si>
  <si>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</si>
  <si>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</si>
  <si>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</si>
  <si>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</si>
  <si>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</si>
  <si>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</si>
  <si>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</si>
  <si>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</si>
  <si>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</si>
  <si>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</si>
  <si>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</si>
  <si>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</si>
  <si>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</si>
  <si>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</si>
  <si>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</si>
  <si>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</si>
  <si>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</si>
  <si>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</si>
  <si>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</si>
  <si>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</si>
  <si>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</si>
  <si>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</si>
  <si>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</si>
  <si>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</si>
  <si>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</si>
  <si>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</si>
  <si>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</si>
  <si>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</si>
  <si>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</si>
  <si>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</si>
  <si>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</si>
  <si>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</si>
  <si>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</si>
  <si>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</si>
  <si>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</si>
  <si>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</si>
  <si>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</si>
  <si>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</si>
  <si>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</si>
  <si>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</si>
  <si>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</si>
  <si>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</si>
  <si>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</si>
  <si>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</si>
  <si>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</si>
  <si>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</si>
  <si>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</si>
  <si>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</si>
  <si>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</si>
  <si>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</si>
  <si>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</si>
  <si>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</si>
  <si>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</si>
  <si>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</si>
  <si>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</si>
  <si>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</si>
  <si>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</si>
  <si>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</si>
  <si>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</si>
  <si>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</si>
  <si>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</si>
  <si>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</si>
  <si>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</si>
  <si>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</si>
  <si>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</si>
  <si>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</si>
  <si>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</si>
  <si>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</si>
  <si>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</si>
  <si>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</si>
  <si>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</si>
  <si>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</si>
  <si>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</si>
  <si>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</si>
  <si>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</si>
  <si>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</si>
  <si>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</si>
  <si>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</si>
  <si>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</si>
  <si>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</si>
  <si>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</si>
  <si>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</si>
  <si>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</si>
  <si>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</si>
  <si>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</si>
  <si>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</si>
  <si>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</si>
  <si>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</si>
  <si>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</si>
  <si>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</si>
  <si>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</si>
  <si>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</si>
  <si>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</si>
  <si>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</si>
  <si>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</si>
  <si>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</si>
  <si>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</si>
  <si>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</si>
  <si>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</si>
  <si>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</si>
  <si>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</si>
  <si>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</si>
  <si>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</si>
  <si>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</si>
  <si>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</si>
  <si>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</si>
  <si>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</si>
  <si>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</si>
  <si>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</si>
  <si>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</si>
  <si>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</si>
  <si>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</si>
  <si>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</si>
  <si>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</si>
  <si>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</si>
  <si>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</si>
  <si>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</si>
  <si>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</si>
  <si>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</si>
  <si>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</si>
  <si>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</si>
  <si>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</si>
  <si>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</si>
  <si>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</si>
  <si>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</si>
  <si>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</si>
  <si>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</si>
  <si>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</si>
  <si>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</si>
  <si>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</si>
  <si>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</si>
  <si>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</si>
  <si>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</si>
  <si>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</si>
  <si>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</si>
  <si>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</si>
  <si>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</si>
  <si>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</si>
  <si>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</si>
  <si>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</si>
  <si>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</si>
  <si>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</si>
  <si>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</si>
  <si>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</si>
  <si>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</si>
  <si>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</si>
  <si>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</si>
  <si>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</si>
  <si>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</si>
  <si>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</si>
  <si>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</si>
  <si>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</si>
  <si>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</si>
  <si>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</si>
  <si>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</si>
  <si>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</si>
  <si>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</si>
  <si>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</si>
  <si>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</si>
  <si>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</si>
  <si>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</si>
  <si>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</si>
  <si>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</si>
  <si>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</si>
  <si>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</si>
  <si>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</si>
  <si>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</si>
  <si>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</si>
  <si>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</si>
  <si>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</si>
  <si>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</si>
  <si>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</si>
  <si>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</si>
  <si>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</si>
  <si>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</si>
  <si>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</si>
  <si>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</si>
  <si>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</si>
  <si>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</si>
  <si>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</si>
  <si>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</si>
  <si>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</si>
  <si>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</si>
  <si>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</si>
  <si>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</si>
  <si>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</si>
  <si>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</si>
  <si>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</si>
  <si>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</si>
  <si>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</si>
  <si>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</si>
  <si>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</si>
  <si>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</si>
  <si>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</si>
  <si>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</si>
  <si>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</si>
  <si>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</si>
  <si>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</si>
  <si>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</si>
  <si>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</si>
  <si>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</si>
  <si>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</si>
  <si>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</si>
  <si>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</si>
  <si>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</si>
  <si>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</si>
  <si>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</si>
  <si>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</si>
  <si>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</si>
  <si>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</si>
  <si>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</si>
  <si>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</si>
  <si>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</si>
  <si>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</si>
  <si>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</si>
  <si>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</si>
  <si>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</si>
  <si>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</si>
  <si>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</si>
  <si>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</si>
  <si>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</si>
  <si>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</si>
  <si>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</si>
  <si>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</si>
  <si>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</si>
  <si>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</si>
  <si>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</si>
  <si>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</si>
  <si>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</si>
  <si>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</si>
  <si>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</si>
  <si>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</si>
  <si>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</si>
  <si>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</si>
  <si>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</si>
  <si>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</si>
  <si>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</si>
  <si>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</si>
  <si>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</si>
  <si>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</si>
  <si>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</si>
  <si>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</si>
  <si>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</si>
  <si>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</si>
  <si>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</si>
  <si>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</si>
  <si>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</si>
  <si>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</si>
  <si>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</si>
  <si>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</si>
  <si>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</si>
  <si>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</si>
  <si>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</si>
  <si>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</si>
  <si>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</si>
  <si>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</si>
  <si>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</si>
  <si>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</si>
  <si>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</si>
  <si>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</si>
  <si>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</si>
  <si>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</si>
  <si>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</si>
  <si>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</si>
  <si>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</si>
  <si>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</si>
  <si>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</si>
  <si>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</si>
  <si>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</si>
  <si>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</si>
  <si>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</si>
  <si>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</si>
  <si>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</si>
  <si>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</si>
  <si>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</si>
  <si>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</si>
  <si>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</si>
  <si>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</si>
  <si>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</si>
  <si>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</si>
  <si>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</si>
  <si>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</si>
  <si>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</si>
  <si>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</si>
  <si>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</si>
  <si>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</si>
  <si>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</si>
  <si>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</si>
  <si>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</si>
  <si>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</si>
  <si>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</si>
  <si>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</si>
  <si>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</si>
  <si>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</si>
  <si>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</si>
  <si>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</si>
  <si>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</si>
  <si>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</si>
  <si>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</si>
  <si>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</si>
  <si>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</si>
  <si>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</si>
  <si>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</si>
  <si>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</si>
  <si>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</si>
  <si>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</si>
  <si>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</si>
  <si>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</si>
  <si>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</si>
  <si>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</si>
  <si>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</si>
  <si>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</si>
  <si>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</si>
  <si>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</si>
  <si>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</si>
  <si>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</si>
  <si>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</si>
  <si>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</si>
  <si>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</si>
  <si>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</si>
  <si>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</si>
  <si>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</si>
  <si>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</si>
  <si>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</si>
  <si>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</si>
  <si>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</si>
  <si>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</si>
  <si>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</si>
  <si>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</si>
  <si>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</si>
  <si>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</si>
  <si>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</si>
  <si>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</si>
  <si>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</si>
  <si>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</si>
  <si>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</si>
  <si>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</si>
  <si>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</si>
  <si>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</si>
  <si>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</si>
  <si>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</si>
  <si>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</si>
  <si>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</si>
  <si>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</si>
  <si>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</si>
  <si>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</si>
  <si>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</si>
  <si>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</si>
  <si>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</si>
  <si>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</si>
  <si>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</si>
  <si>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</si>
  <si>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</si>
  <si>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</si>
  <si>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</si>
  <si>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</si>
  <si>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</si>
  <si>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</si>
  <si>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</si>
  <si>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</si>
  <si>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</si>
  <si>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</si>
  <si>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</si>
  <si>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</si>
  <si>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</si>
  <si>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</si>
  <si>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</si>
  <si>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</si>
  <si>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</si>
  <si>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</si>
  <si>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</si>
  <si>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</si>
  <si>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</si>
  <si>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</si>
  <si>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</si>
  <si>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</si>
  <si>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</si>
  <si>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</si>
  <si>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</si>
  <si>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</si>
  <si>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</si>
  <si>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</si>
  <si>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</si>
  <si>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</si>
  <si>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</si>
  <si>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</si>
  <si>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</si>
  <si>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</si>
  <si>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</si>
  <si>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</si>
  <si>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</si>
  <si>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</si>
  <si>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</si>
  <si>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</si>
  <si>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</si>
  <si>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</si>
  <si>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</si>
  <si>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</si>
  <si>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</si>
  <si>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</si>
  <si>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</si>
  <si>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</si>
  <si>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</si>
  <si>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</si>
  <si>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</si>
  <si>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</si>
  <si>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</si>
  <si>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</si>
  <si>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</si>
  <si>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</si>
  <si>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</si>
  <si>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</si>
  <si>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</si>
  <si>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</si>
  <si>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</si>
  <si>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</si>
  <si>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</si>
  <si>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</si>
  <si>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</si>
  <si>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</si>
  <si>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</si>
  <si>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</si>
  <si>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</si>
  <si>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</si>
  <si>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</si>
  <si>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</si>
  <si>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</si>
  <si>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</si>
  <si>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</si>
  <si>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</si>
  <si>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</si>
  <si>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</si>
  <si>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</si>
  <si>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</si>
  <si>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</si>
  <si>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</si>
  <si>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</si>
  <si>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</si>
  <si>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</si>
  <si>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</si>
  <si>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</si>
  <si>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</si>
  <si>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</si>
  <si>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</si>
  <si>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</si>
  <si>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</si>
  <si>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</si>
  <si>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</si>
  <si>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</si>
  <si>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</si>
  <si>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</si>
  <si>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</si>
  <si>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</si>
  <si>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</si>
  <si>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</si>
  <si>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</si>
  <si>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</si>
  <si>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</si>
  <si>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</si>
  <si>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</si>
  <si>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</si>
  <si>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</si>
  <si>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</si>
  <si>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</si>
  <si>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</si>
  <si>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</si>
  <si>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</si>
  <si>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</si>
  <si>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</si>
  <si>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</si>
  <si>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</si>
  <si>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</si>
  <si>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</si>
  <si>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</si>
  <si>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</si>
  <si>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</si>
  <si>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</si>
  <si>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</si>
  <si>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</si>
  <si>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</si>
  <si>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</si>
  <si>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</si>
  <si>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</si>
  <si>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</si>
  <si>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</si>
  <si>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</si>
  <si>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</si>
  <si>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</si>
  <si>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</si>
  <si>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</si>
  <si>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</si>
  <si>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</si>
  <si>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</si>
  <si>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</si>
  <si>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</si>
  <si>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</si>
  <si>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</si>
  <si>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</si>
  <si>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</si>
  <si>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</si>
  <si>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</si>
  <si>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</si>
  <si>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</si>
  <si>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</si>
  <si>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</si>
  <si>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</si>
  <si>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</si>
  <si>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</si>
  <si>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</si>
  <si>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</si>
  <si>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</si>
  <si>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</si>
  <si>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</si>
  <si>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</si>
  <si>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</si>
  <si>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</si>
  <si>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</si>
  <si>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</si>
  <si>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</si>
  <si>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</si>
  <si>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</si>
  <si>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</si>
  <si>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</si>
  <si>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</si>
  <si>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</si>
  <si>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</si>
  <si>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</si>
  <si>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</si>
  <si>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</si>
  <si>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</si>
  <si>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</si>
  <si>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</si>
  <si>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</si>
  <si>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</si>
  <si>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</si>
  <si>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</si>
  <si>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</si>
  <si>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</si>
  <si>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</si>
  <si>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</si>
  <si>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</si>
  <si>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</si>
  <si>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</si>
  <si>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</si>
  <si>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</si>
  <si>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</si>
  <si>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</si>
  <si>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</si>
  <si>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</si>
  <si>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</si>
  <si>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</si>
  <si>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</si>
  <si>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</si>
  <si>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</si>
  <si>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</si>
  <si>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</si>
  <si>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</si>
  <si>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</si>
  <si>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</si>
  <si>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</si>
  <si>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</si>
  <si>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</si>
  <si>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</si>
  <si>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</si>
  <si>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</si>
  <si>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</si>
  <si>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</si>
  <si>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</si>
  <si>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</si>
  <si>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</si>
  <si>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</si>
  <si>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</si>
  <si>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</si>
  <si>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</si>
  <si>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</si>
  <si>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</si>
  <si>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</si>
  <si>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</si>
  <si>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</si>
  <si>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</si>
  <si>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</si>
  <si>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</si>
  <si>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</si>
  <si>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</si>
  <si>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</si>
  <si>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</si>
  <si>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</si>
  <si>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</si>
  <si>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</si>
  <si>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</si>
  <si>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</si>
  <si>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</si>
  <si>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</si>
  <si>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</si>
  <si>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</si>
  <si>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</si>
  <si>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</si>
  <si>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</si>
  <si>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</si>
  <si>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</si>
  <si>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</si>
  <si>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</si>
  <si>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</si>
  <si>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</si>
  <si>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</si>
  <si>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</si>
  <si>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</si>
  <si>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</si>
  <si>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</si>
  <si>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</si>
  <si>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</si>
  <si>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</si>
  <si>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</si>
  <si>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</si>
  <si>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</si>
  <si>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</si>
  <si>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</si>
  <si>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</si>
  <si>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</si>
  <si>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</si>
  <si>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</si>
  <si>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</si>
  <si>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</si>
  <si>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</si>
  <si>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</si>
  <si>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</si>
  <si>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</si>
  <si>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</si>
  <si>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</si>
  <si>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</si>
  <si>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</si>
  <si>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</si>
  <si>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</si>
  <si>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</si>
  <si>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</si>
  <si>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</si>
  <si>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</si>
  <si>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</si>
  <si>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</si>
  <si>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</si>
  <si>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</si>
  <si>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</si>
  <si>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</si>
  <si>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</si>
  <si>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</si>
  <si>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</si>
  <si>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</si>
  <si>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</si>
  <si>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</si>
  <si>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</si>
  <si>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</si>
  <si>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</si>
  <si>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</si>
  <si>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</si>
  <si>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</si>
  <si>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</si>
  <si>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</si>
  <si>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</si>
  <si>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</si>
  <si>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</si>
  <si>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</si>
  <si>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</si>
  <si>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</si>
  <si>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</si>
  <si>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</si>
  <si>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</si>
  <si>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</si>
  <si>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</si>
  <si>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</si>
  <si>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</si>
  <si>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</si>
  <si>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</si>
  <si>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</si>
  <si>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</si>
  <si>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</si>
  <si>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</si>
  <si>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</si>
  <si>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</si>
  <si>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</si>
  <si>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</si>
  <si>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</si>
  <si>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</si>
  <si>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</si>
  <si>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</si>
  <si>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</si>
  <si>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</si>
  <si>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</si>
  <si>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</si>
  <si>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</si>
  <si>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</si>
  <si>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</si>
  <si>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</si>
  <si>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</si>
  <si>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</si>
  <si>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</si>
  <si>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</si>
  <si>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</si>
  <si>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</si>
  <si>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</si>
  <si>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</si>
  <si>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</si>
  <si>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</si>
  <si>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</si>
  <si>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</si>
  <si>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</si>
  <si>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</si>
  <si>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</si>
  <si>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</si>
  <si>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</si>
  <si>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</si>
  <si>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</si>
  <si>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</si>
  <si>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</si>
  <si>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</si>
  <si>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</si>
  <si>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</si>
  <si>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</si>
  <si>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</si>
  <si>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</si>
  <si>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</si>
  <si>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</si>
  <si>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</si>
  <si>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</si>
  <si>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</si>
  <si>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</si>
  <si>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</si>
  <si>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</si>
  <si>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</si>
  <si>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</si>
  <si>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</si>
  <si>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</si>
  <si>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</si>
  <si>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</si>
  <si>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</si>
  <si>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</si>
  <si>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</si>
  <si>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</si>
  <si>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</si>
  <si>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</si>
  <si>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</si>
  <si>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</si>
  <si>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</si>
  <si>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</si>
  <si>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</si>
  <si>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</si>
  <si>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</si>
  <si>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</si>
  <si>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</si>
  <si>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</si>
  <si>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</si>
  <si>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</si>
  <si>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</si>
  <si>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</si>
  <si>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</si>
  <si>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</si>
  <si>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</si>
  <si>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</si>
  <si>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</si>
  <si>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</si>
  <si>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</si>
  <si>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</si>
  <si>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</si>
  <si>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</si>
  <si>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</si>
  <si>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</si>
  <si>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</si>
  <si>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</si>
  <si>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</si>
  <si>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</si>
  <si>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</si>
  <si>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</si>
  <si>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</si>
  <si>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</si>
  <si>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</si>
  <si>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</si>
  <si>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</si>
  <si>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</si>
  <si>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</si>
  <si>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</si>
  <si>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</si>
  <si>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</si>
  <si>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</si>
  <si>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</si>
  <si>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</si>
  <si>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</si>
  <si>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</si>
  <si>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</si>
  <si>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</si>
  <si>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</si>
  <si>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</si>
  <si>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</si>
  <si>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</si>
  <si>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</si>
  <si>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</si>
  <si>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</si>
  <si>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</si>
  <si>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</si>
  <si>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</si>
  <si>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</si>
  <si>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</si>
  <si>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</si>
  <si>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</si>
  <si>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</si>
  <si>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</si>
  <si>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</si>
  <si>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</si>
  <si>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</si>
  <si>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</si>
  <si>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</si>
  <si>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</si>
  <si>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</si>
  <si>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</si>
  <si>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</si>
  <si>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</si>
  <si>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</si>
  <si>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</si>
  <si>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</si>
  <si>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</si>
  <si>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</si>
  <si>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</si>
  <si>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</si>
  <si>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</si>
  <si>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</si>
  <si>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</si>
  <si>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</si>
  <si>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</si>
  <si>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</si>
  <si>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</si>
  <si>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</si>
  <si>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</si>
  <si>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</si>
  <si>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</si>
  <si>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</si>
  <si>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</si>
  <si>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</si>
  <si>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</si>
  <si>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</si>
  <si>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</si>
  <si>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</si>
  <si>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</si>
  <si>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</si>
  <si>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</si>
  <si>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</si>
  <si>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</si>
  <si>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</si>
  <si>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</si>
  <si>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</si>
  <si>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</si>
  <si>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</si>
  <si>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</si>
  <si>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</si>
  <si>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</si>
  <si>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</si>
  <si>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</si>
  <si>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</si>
  <si>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</si>
  <si>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</si>
  <si>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</si>
  <si>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</si>
  <si>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</si>
  <si>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</si>
  <si>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</si>
  <si>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</si>
  <si>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</si>
  <si>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</si>
  <si>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</si>
  <si>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</si>
  <si>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</si>
  <si>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</si>
  <si>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</si>
  <si>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</si>
  <si>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</si>
  <si>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</si>
  <si>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</si>
  <si>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</si>
  <si>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</si>
  <si>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</si>
  <si>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</si>
  <si>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</si>
  <si>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</si>
  <si>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</si>
  <si>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</si>
  <si>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</si>
  <si>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</si>
  <si>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</si>
  <si>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</si>
  <si>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</si>
  <si>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</si>
  <si>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</si>
  <si>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</si>
  <si>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</si>
  <si>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</si>
  <si>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</si>
  <si>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</si>
  <si>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</si>
  <si>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</si>
  <si>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</si>
  <si>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</si>
  <si>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</si>
  <si>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</si>
  <si>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</si>
  <si>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</si>
  <si>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</si>
  <si>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</si>
  <si>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</si>
  <si>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</si>
  <si>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</si>
  <si>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</si>
  <si>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</si>
  <si>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</si>
  <si>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</si>
  <si>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</si>
  <si>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</si>
  <si>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</si>
  <si>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</si>
  <si>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</si>
  <si>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</si>
  <si>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</si>
  <si>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</si>
  <si>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</si>
  <si>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</si>
  <si>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</si>
  <si>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</si>
  <si>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</si>
  <si>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</si>
  <si>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</si>
  <si>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</si>
  <si>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</si>
  <si>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</si>
  <si>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</si>
  <si>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</si>
  <si>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</si>
  <si>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</si>
  <si>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</si>
  <si>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</si>
  <si>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</si>
  <si>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</si>
  <si>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</si>
  <si>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</si>
  <si>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</si>
  <si>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</si>
  <si>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</si>
  <si>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</si>
  <si>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</si>
  <si>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</si>
  <si>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</si>
  <si>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</si>
  <si>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</si>
  <si>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</si>
  <si>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</si>
  <si>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</si>
  <si>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</si>
  <si>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</si>
  <si>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</si>
  <si>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</si>
  <si>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</si>
  <si>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</si>
  <si>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</si>
  <si>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</si>
  <si>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</si>
  <si>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</si>
  <si>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</si>
  <si>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</si>
  <si>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</si>
  <si>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</si>
  <si>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</si>
  <si>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</si>
  <si>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</si>
  <si>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</si>
  <si>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</si>
  <si>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</si>
  <si>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</si>
  <si>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</si>
  <si>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</si>
  <si>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</si>
  <si>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</si>
  <si>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</si>
  <si>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</si>
  <si>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</si>
  <si>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</si>
  <si>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</si>
  <si>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</si>
  <si>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</si>
  <si>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</si>
  <si>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</si>
  <si>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</si>
  <si>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</si>
  <si>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</si>
  <si>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</si>
  <si>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</si>
  <si>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</si>
  <si>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</si>
  <si>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</si>
  <si>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</si>
  <si>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</si>
  <si>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</si>
  <si>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</si>
  <si>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</si>
  <si>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</si>
  <si>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</si>
  <si>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</si>
  <si>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</si>
  <si>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</si>
  <si>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</si>
  <si>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</si>
  <si>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</si>
  <si>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</si>
  <si>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</si>
  <si>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</si>
  <si>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</si>
  <si>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</si>
  <si>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</si>
  <si>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</si>
  <si>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</si>
  <si>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</si>
  <si>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</si>
  <si>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</si>
  <si>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</si>
  <si>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</si>
  <si>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</si>
  <si>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</si>
  <si>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</si>
  <si>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</si>
  <si>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</si>
  <si>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</si>
  <si>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</si>
  <si>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</si>
  <si>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</si>
  <si>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</si>
  <si>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</si>
  <si>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</si>
  <si>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</si>
  <si>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</si>
  <si>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</si>
  <si>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</si>
  <si>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</si>
  <si>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</si>
  <si>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</si>
  <si>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</si>
  <si>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</si>
  <si>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</si>
  <si>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</si>
  <si>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</si>
  <si>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</si>
  <si>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</si>
  <si>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</si>
  <si>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</si>
  <si>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</si>
  <si>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</si>
  <si>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</si>
  <si>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</si>
  <si>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</si>
  <si>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</si>
  <si>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</si>
  <si>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</si>
  <si>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</si>
  <si>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</si>
  <si>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</si>
  <si>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</si>
  <si>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</si>
  <si>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</si>
  <si>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</si>
  <si>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</si>
  <si>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</si>
  <si>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</si>
  <si>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</si>
  <si>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</si>
  <si>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</si>
  <si>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</si>
  <si>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</si>
  <si>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</si>
  <si>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</si>
  <si>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</si>
  <si>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</si>
  <si>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</si>
  <si>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</si>
  <si>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</si>
  <si>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</si>
  <si>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</si>
  <si>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</si>
  <si>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</si>
  <si>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</si>
  <si>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</si>
  <si>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</si>
  <si>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</si>
  <si>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</si>
  <si>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</si>
  <si>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</si>
  <si>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</si>
  <si>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</si>
  <si>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</si>
  <si>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</si>
  <si>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</si>
  <si>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</si>
  <si>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</si>
  <si>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</si>
  <si>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</si>
  <si>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</si>
  <si>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</si>
  <si>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</si>
  <si>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</si>
  <si>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</si>
  <si>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</si>
  <si>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</si>
  <si>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</si>
  <si>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</si>
  <si>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</si>
  <si>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</si>
  <si>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</si>
  <si>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</si>
  <si>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</si>
  <si>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</si>
  <si>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</si>
  <si>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</si>
  <si>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</si>
  <si>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</si>
  <si>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</si>
  <si>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</si>
  <si>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</si>
  <si>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</si>
  <si>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</si>
  <si>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</si>
  <si>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</si>
  <si>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</si>
  <si>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</si>
  <si>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</si>
  <si>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</si>
  <si>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</si>
  <si>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</si>
  <si>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</si>
  <si>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</si>
  <si>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</si>
  <si>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</si>
  <si>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</si>
  <si>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</si>
  <si>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</si>
  <si>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</si>
  <si>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</si>
  <si>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</si>
  <si>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</si>
  <si>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</si>
  <si>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</si>
  <si>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</si>
  <si>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</si>
  <si>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</si>
  <si>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</si>
  <si>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</si>
  <si>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</si>
  <si>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</si>
  <si>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</si>
  <si>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</si>
  <si>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</si>
  <si>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</si>
  <si>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</si>
  <si>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</si>
  <si>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</si>
  <si>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</si>
  <si>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</si>
  <si>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</si>
  <si>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</si>
  <si>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</si>
  <si>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</si>
  <si>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</si>
  <si>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</si>
  <si>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</si>
  <si>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</si>
  <si>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</si>
  <si>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</si>
  <si>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</si>
  <si>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</si>
  <si>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</si>
  <si>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</si>
  <si>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</si>
  <si>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</si>
  <si>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</si>
  <si>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</si>
  <si>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</si>
  <si>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</si>
  <si>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</si>
  <si>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</si>
  <si>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</si>
  <si>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</si>
  <si>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</si>
  <si>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</si>
  <si>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</si>
  <si>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</si>
  <si>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</si>
  <si>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</si>
  <si>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</si>
  <si>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</si>
  <si>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</si>
  <si>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</si>
  <si>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</si>
  <si>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</si>
  <si>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</si>
  <si>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</si>
  <si>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</si>
  <si>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</si>
  <si>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</si>
  <si>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</si>
  <si>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</si>
  <si>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</si>
  <si>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</si>
  <si>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</si>
  <si>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</si>
  <si>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</si>
  <si>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</si>
  <si>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</si>
  <si>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</si>
  <si>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</si>
  <si>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</si>
  <si>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</si>
  <si>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</si>
  <si>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</si>
  <si>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</si>
  <si>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</si>
  <si>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</si>
  <si>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</si>
  <si>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</si>
  <si>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</si>
  <si>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</si>
  <si>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</si>
  <si>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</si>
  <si>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</si>
  <si>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</si>
  <si>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</si>
  <si>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</si>
  <si>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</si>
  <si>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</si>
  <si>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</si>
  <si>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</si>
  <si>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</si>
  <si>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</si>
  <si>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</si>
  <si>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</si>
  <si>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</si>
  <si>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</si>
  <si>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</si>
  <si>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</si>
  <si>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</si>
  <si>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</si>
  <si>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</si>
  <si>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</si>
  <si>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</si>
  <si>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</si>
  <si>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</si>
  <si>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</si>
  <si>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</si>
  <si>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</si>
  <si>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</si>
  <si>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</si>
  <si>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</si>
  <si>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</si>
  <si>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</si>
  <si>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</si>
  <si>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</si>
  <si>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</si>
  <si>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</si>
  <si>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</si>
  <si>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</si>
  <si>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</si>
  <si>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</si>
  <si>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</si>
  <si>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</si>
  <si>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</si>
  <si>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</si>
  <si>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</si>
  <si>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</si>
  <si>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</si>
  <si>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</si>
  <si>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</si>
  <si>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</si>
  <si>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</si>
  <si>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</si>
  <si>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</si>
  <si>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</si>
  <si>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</si>
  <si>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</si>
  <si>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</si>
  <si>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</si>
  <si>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</si>
  <si>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</si>
  <si>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</si>
  <si>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</si>
  <si>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</si>
  <si>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</si>
  <si>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</si>
  <si>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</si>
  <si>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</si>
  <si>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</si>
  <si>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</si>
  <si>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</si>
  <si>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</si>
  <si>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</si>
  <si>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</si>
  <si>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</si>
  <si>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</si>
  <si>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</si>
  <si>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</si>
  <si>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</si>
  <si>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</si>
  <si>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</si>
  <si>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</si>
  <si>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</si>
  <si>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</si>
  <si>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</si>
  <si>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</si>
  <si>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</si>
  <si>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</si>
  <si>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</si>
  <si>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</si>
  <si>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</si>
  <si>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</si>
  <si>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</si>
  <si>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</si>
  <si>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</si>
  <si>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</si>
  <si>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</si>
  <si>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</si>
  <si>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</si>
  <si>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</si>
  <si>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</si>
  <si>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</si>
  <si>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</si>
  <si>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</si>
  <si>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</si>
  <si>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</si>
  <si>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</si>
  <si>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</si>
  <si>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</si>
  <si>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</si>
  <si>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</si>
  <si>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</si>
  <si>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</si>
  <si>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</si>
  <si>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</si>
  <si>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</si>
  <si>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</si>
  <si>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</si>
  <si>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</si>
  <si>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</si>
  <si>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</si>
  <si>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</si>
  <si>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</si>
  <si>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</si>
  <si>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</si>
  <si>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</si>
  <si>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</si>
  <si>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</si>
  <si>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</si>
  <si>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</si>
  <si>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</si>
  <si>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</si>
  <si>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</si>
  <si>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</si>
  <si>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</si>
  <si>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</si>
  <si>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</si>
  <si>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</si>
  <si>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</si>
  <si>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</si>
  <si>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</si>
  <si>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</si>
  <si>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</si>
  <si>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</si>
  <si>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</si>
  <si>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</si>
  <si>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</si>
  <si>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</si>
  <si>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</si>
  <si>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</si>
  <si>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</si>
  <si>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</si>
  <si>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</si>
  <si>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</si>
  <si>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</si>
  <si>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</si>
  <si>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</si>
  <si>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</si>
  <si>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</si>
  <si>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</si>
  <si>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</si>
  <si>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</si>
  <si>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</si>
  <si>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</si>
  <si>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</si>
  <si>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</si>
  <si>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</si>
  <si>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</si>
  <si>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</si>
  <si>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</si>
  <si>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</si>
  <si>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</si>
  <si>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</si>
  <si>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</si>
  <si>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</si>
  <si>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</si>
  <si>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</si>
  <si>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</si>
  <si>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</si>
  <si>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</si>
  <si>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</si>
  <si>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</si>
  <si>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</si>
  <si>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</si>
  <si>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</si>
  <si>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</si>
  <si>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</si>
  <si>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</si>
  <si>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</si>
  <si>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</si>
  <si>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</si>
  <si>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</si>
  <si>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</si>
  <si>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</si>
  <si>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</si>
  <si>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</si>
  <si>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</si>
  <si>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</si>
  <si>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</si>
  <si>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</si>
  <si>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</si>
  <si>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</si>
  <si>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</si>
  <si>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</si>
  <si>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</si>
  <si>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</si>
  <si>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</si>
  <si>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</si>
  <si>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</si>
  <si>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</si>
  <si>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</si>
  <si>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</si>
  <si>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</si>
  <si>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</si>
  <si>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</si>
  <si>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</si>
  <si>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</si>
  <si>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</si>
  <si>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</si>
  <si>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</si>
  <si>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</si>
  <si>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</si>
  <si>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</si>
  <si>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</si>
  <si>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</si>
  <si>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</si>
  <si>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</si>
  <si>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</si>
  <si>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</si>
  <si>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</si>
  <si>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</si>
  <si>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</si>
  <si>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</si>
  <si>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</si>
  <si>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</si>
  <si>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</si>
  <si>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</si>
  <si>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</si>
  <si>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</si>
  <si>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</si>
  <si>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</si>
  <si>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</si>
  <si>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</si>
  <si>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</si>
  <si>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</si>
  <si>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</si>
  <si>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</si>
  <si>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</si>
  <si>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</si>
  <si>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</si>
  <si>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</si>
  <si>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</si>
  <si>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</si>
  <si>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</si>
  <si>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</si>
  <si>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</si>
  <si>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</si>
  <si>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</si>
  <si>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</si>
  <si>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</si>
  <si>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</si>
  <si>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</si>
  <si>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</si>
  <si>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</si>
  <si>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</si>
  <si>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</si>
  <si>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</si>
  <si>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</si>
  <si>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</si>
  <si>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</si>
  <si>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</si>
  <si>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</si>
  <si>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</si>
  <si>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</si>
  <si>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</si>
  <si>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</si>
  <si>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</si>
  <si>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</si>
  <si>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</si>
  <si>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</si>
  <si>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</si>
  <si>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</si>
  <si>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</si>
  <si>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</si>
  <si>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</si>
  <si>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</si>
  <si>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</si>
  <si>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</si>
  <si>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</si>
  <si>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</si>
  <si>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</si>
  <si>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</si>
  <si>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</si>
  <si>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</si>
  <si>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</si>
  <si>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</si>
  <si>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</si>
  <si>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</si>
  <si>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</si>
  <si>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</si>
  <si>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</si>
  <si>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</si>
  <si>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</si>
  <si>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</si>
  <si>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</si>
  <si>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</si>
  <si>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</si>
  <si>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</si>
  <si>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</si>
  <si>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</si>
  <si>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</si>
  <si>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</si>
  <si>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</si>
  <si>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</si>
  <si>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</si>
  <si>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</si>
  <si>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</si>
  <si>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</si>
  <si>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</si>
  <si>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</si>
  <si>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</si>
  <si>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</si>
  <si>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</si>
  <si>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</si>
  <si>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</si>
  <si>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</si>
  <si>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</si>
  <si>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</si>
  <si>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</si>
  <si>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</si>
  <si>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</si>
  <si>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</si>
  <si>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</si>
  <si>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</si>
  <si>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</si>
  <si>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</si>
  <si>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</si>
  <si>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</si>
  <si>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</si>
  <si>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</si>
  <si>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</si>
  <si>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</si>
  <si>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</si>
  <si>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</si>
  <si>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</si>
  <si>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</si>
  <si>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</si>
  <si>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</si>
  <si>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</si>
  <si>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</si>
  <si>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</si>
  <si>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</si>
  <si>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</si>
  <si>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</si>
  <si>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</si>
  <si>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</si>
  <si>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</si>
  <si>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</si>
  <si>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</si>
  <si>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</si>
  <si>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</si>
  <si>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</si>
  <si>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</si>
  <si>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</si>
  <si>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</si>
  <si>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</si>
  <si>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</si>
  <si>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</si>
  <si>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</si>
  <si>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</si>
  <si>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</si>
  <si>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</si>
  <si>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</si>
  <si>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</si>
  <si>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</si>
  <si>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</si>
  <si>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</si>
  <si>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</si>
  <si>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</si>
  <si>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</si>
  <si>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</si>
  <si>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</si>
  <si>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</si>
  <si>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</si>
  <si>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</si>
  <si>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</si>
  <si>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</si>
  <si>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</si>
  <si>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</si>
  <si>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</si>
  <si>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</si>
  <si>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</si>
  <si>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</si>
  <si>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</si>
  <si>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</si>
  <si>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</si>
  <si>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</si>
  <si>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</si>
  <si>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</si>
  <si>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</si>
  <si>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</si>
  <si>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</si>
  <si>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</si>
  <si>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</si>
  <si>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</si>
  <si>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</si>
  <si>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</si>
  <si>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</si>
  <si>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</si>
  <si>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</si>
  <si>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</si>
  <si>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</si>
  <si>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</si>
  <si>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</si>
  <si>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</si>
  <si>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</si>
  <si>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</si>
  <si>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</si>
  <si>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</si>
  <si>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</si>
  <si>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</si>
  <si>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</si>
  <si>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</si>
  <si>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</si>
  <si>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</si>
  <si>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</si>
  <si>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</si>
  <si>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</si>
  <si>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</si>
  <si>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</si>
  <si>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</si>
  <si>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</si>
  <si>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</si>
  <si>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</si>
  <si>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</si>
  <si>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</si>
  <si>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</si>
  <si>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</si>
  <si>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</si>
  <si>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</si>
  <si>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</si>
  <si>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</si>
  <si>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</si>
  <si>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</si>
  <si>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</si>
  <si>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</si>
  <si>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</si>
  <si>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</si>
  <si>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</si>
  <si>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</si>
  <si>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</si>
  <si>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</si>
  <si>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</si>
  <si>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</si>
  <si>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</si>
  <si>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</si>
  <si>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</si>
  <si>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</si>
  <si>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</si>
  <si>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</si>
  <si>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</si>
  <si>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</si>
  <si>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</si>
  <si>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</si>
  <si>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</si>
  <si>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</si>
  <si>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</si>
  <si>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</si>
  <si>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</si>
  <si>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</si>
  <si>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</si>
  <si>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</si>
  <si>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</si>
  <si>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</si>
  <si>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</si>
  <si>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</si>
  <si>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</si>
  <si>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</si>
  <si>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</si>
  <si>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</si>
  <si>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</si>
  <si>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</si>
  <si>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</si>
  <si>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</si>
  <si>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</si>
  <si>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</si>
  <si>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</si>
  <si>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</si>
  <si>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</si>
  <si>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</si>
  <si>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</si>
  <si>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</si>
  <si>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</si>
  <si>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</si>
  <si>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</si>
  <si>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</si>
  <si>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</si>
  <si>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</si>
  <si>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</si>
  <si>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</si>
  <si>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</si>
  <si>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</si>
  <si>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</si>
  <si>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</si>
  <si>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</si>
  <si>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</si>
  <si>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</si>
  <si>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</si>
  <si>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</si>
  <si>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</si>
  <si>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</si>
  <si>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</si>
  <si>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</si>
  <si>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</si>
  <si>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</si>
  <si>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</si>
  <si>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</si>
  <si>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</si>
  <si>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</si>
  <si>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</si>
  <si>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</si>
  <si>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</si>
  <si>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</si>
  <si>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</si>
  <si>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</si>
  <si>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</si>
  <si>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</si>
  <si>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</si>
  <si>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</si>
  <si>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</si>
  <si>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</si>
  <si>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</si>
  <si>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</si>
  <si>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</si>
  <si>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</si>
  <si>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</si>
  <si>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</si>
  <si>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</si>
  <si>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</si>
  <si>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</si>
  <si>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</si>
  <si>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</si>
  <si>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</si>
  <si>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</si>
  <si>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</si>
  <si>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</si>
  <si>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</si>
  <si>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</si>
  <si>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</si>
  <si>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</si>
  <si>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</si>
  <si>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</si>
  <si>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</si>
  <si>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</si>
  <si>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</si>
  <si>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</si>
  <si>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</si>
  <si>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</si>
  <si>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</si>
  <si>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</si>
  <si>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</si>
  <si>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</si>
  <si>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</si>
  <si>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</si>
  <si>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</si>
  <si>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</si>
  <si>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</si>
  <si>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</si>
  <si>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</si>
  <si>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</si>
  <si>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</si>
  <si>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</si>
  <si>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</si>
  <si>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</si>
  <si>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</si>
  <si>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</si>
  <si>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</si>
  <si>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</si>
  <si>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</si>
  <si>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</si>
  <si>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</si>
  <si>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</si>
  <si>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</si>
  <si>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</si>
  <si>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</si>
  <si>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</si>
  <si>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</si>
  <si>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</si>
  <si>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</si>
  <si>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</si>
  <si>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</si>
  <si>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</si>
  <si>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</si>
  <si>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</si>
  <si>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</si>
  <si>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</si>
  <si>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</si>
  <si>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</si>
  <si>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</si>
  <si>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</si>
  <si>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</si>
  <si>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</si>
  <si>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</si>
  <si>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</si>
  <si>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</si>
  <si>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</si>
  <si>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</si>
  <si>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</si>
  <si>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</si>
  <si>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</si>
  <si>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</si>
  <si>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</si>
  <si>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</si>
  <si>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</si>
  <si>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</si>
  <si>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</si>
  <si>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</si>
  <si>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</si>
  <si>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</si>
  <si>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</si>
  <si>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</si>
  <si>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</si>
  <si>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</si>
  <si>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</si>
  <si>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</si>
  <si>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</si>
  <si>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</si>
  <si>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</si>
  <si>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</si>
  <si>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</si>
  <si>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</si>
  <si>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</si>
  <si>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</si>
  <si>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</si>
  <si>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</si>
  <si>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</si>
  <si>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</si>
  <si>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</si>
  <si>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</si>
  <si>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</si>
  <si>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</si>
  <si>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</si>
  <si>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</si>
  <si>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</si>
  <si>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</si>
  <si>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</si>
  <si>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</si>
  <si>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</si>
  <si>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</si>
  <si>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</si>
  <si>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</si>
  <si>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</si>
  <si>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</si>
  <si>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</si>
  <si>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</si>
  <si>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</si>
  <si>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</si>
  <si>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</si>
  <si>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</si>
  <si>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</si>
  <si>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</si>
  <si>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</si>
  <si>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</si>
  <si>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</si>
  <si>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</si>
  <si>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</si>
  <si>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</si>
  <si>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</si>
  <si>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</si>
  <si>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</si>
  <si>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</si>
  <si>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</si>
  <si>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</si>
  <si>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</si>
  <si>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</si>
  <si>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</si>
  <si>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</si>
  <si>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</si>
  <si>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</si>
  <si>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</si>
  <si>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</si>
  <si>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</si>
  <si>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</si>
  <si>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</si>
  <si>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</si>
  <si>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</si>
  <si>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</si>
  <si>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</si>
  <si>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</si>
  <si>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</si>
  <si>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</si>
  <si>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</si>
  <si>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</si>
  <si>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</si>
  <si>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</si>
  <si>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</si>
  <si>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</si>
  <si>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</si>
  <si>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</si>
  <si>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</si>
  <si>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</si>
  <si>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</si>
  <si>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</si>
  <si>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</si>
  <si>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</si>
  <si>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</si>
  <si>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</si>
  <si>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</si>
  <si>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</si>
  <si>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</si>
  <si>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</si>
  <si>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</si>
  <si>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</si>
  <si>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</si>
  <si>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</si>
  <si>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</si>
  <si>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</si>
  <si>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</si>
  <si>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</si>
  <si>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</si>
  <si>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</si>
  <si>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</si>
  <si>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</si>
  <si>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</si>
  <si>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</si>
  <si>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</si>
  <si>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</si>
  <si>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</si>
  <si>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</si>
  <si>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</si>
  <si>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</si>
  <si>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</si>
  <si>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</si>
  <si>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</si>
  <si>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</si>
  <si>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</si>
  <si>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</si>
  <si>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</si>
  <si>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</si>
  <si>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</si>
  <si>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</si>
  <si>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</si>
  <si>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</si>
  <si>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</si>
  <si>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</si>
  <si>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</si>
  <si>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</si>
  <si>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</si>
  <si>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</si>
  <si>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</si>
  <si>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</si>
  <si>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</si>
  <si>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</si>
  <si>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</si>
  <si>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</si>
  <si>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</si>
  <si>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</si>
  <si>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</si>
  <si>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</si>
  <si>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</si>
  <si>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</si>
  <si>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</si>
  <si>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</si>
  <si>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</si>
  <si>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</si>
  <si>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</si>
  <si>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</si>
  <si>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</si>
  <si>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</si>
  <si>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</si>
  <si>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</si>
  <si>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</si>
  <si>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</si>
  <si>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</si>
  <si>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</si>
  <si>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</si>
  <si>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</si>
  <si>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</si>
  <si>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</si>
  <si>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</si>
  <si>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</si>
  <si>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</si>
  <si>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</si>
  <si>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</si>
  <si>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</si>
  <si>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</si>
  <si>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</si>
  <si>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</si>
  <si>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</si>
  <si>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</si>
  <si>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</si>
  <si>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</si>
  <si>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</si>
  <si>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</si>
  <si>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</si>
  <si>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</si>
  <si>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</si>
  <si>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</si>
  <si>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</si>
  <si>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</si>
  <si>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</si>
  <si>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</si>
  <si>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</si>
  <si>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</si>
  <si>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</si>
  <si>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</si>
  <si>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</si>
  <si>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</si>
  <si>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</si>
  <si>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</si>
  <si>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</si>
  <si>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</si>
  <si>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</si>
  <si>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</si>
  <si>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</si>
  <si>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</si>
  <si>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</si>
  <si>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</si>
  <si>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</si>
  <si>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</si>
  <si>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</si>
  <si>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</si>
  <si>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</si>
  <si>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</si>
  <si>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</si>
  <si>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</si>
  <si>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</si>
  <si>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</si>
  <si>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</si>
  <si>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</si>
  <si>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</si>
  <si>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</si>
  <si>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</si>
  <si>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</si>
  <si>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</si>
  <si>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</si>
  <si>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</si>
  <si>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</si>
  <si>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</si>
  <si>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</si>
  <si>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</si>
  <si>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</si>
  <si>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</si>
  <si>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</si>
  <si>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</si>
  <si>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</si>
  <si>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</si>
  <si>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</si>
  <si>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</si>
  <si>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</si>
  <si>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</si>
  <si>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</si>
  <si>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</si>
  <si>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</si>
  <si>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</si>
  <si>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</si>
  <si>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</si>
  <si>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</si>
  <si>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</si>
  <si>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</si>
  <si>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</si>
  <si>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</si>
  <si>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</si>
  <si>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</si>
  <si>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</si>
  <si>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</si>
  <si>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</si>
  <si>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</si>
  <si>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</si>
  <si>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</si>
  <si>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</si>
  <si>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</si>
  <si>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</si>
  <si>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</si>
  <si>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</si>
  <si>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</si>
  <si>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</si>
  <si>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</si>
  <si>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</si>
  <si>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</si>
  <si>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</si>
  <si>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</si>
  <si>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</si>
  <si>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</si>
  <si>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</si>
  <si>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</si>
  <si>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</si>
  <si>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</si>
  <si>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</si>
  <si>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</si>
  <si>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</si>
  <si>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</si>
  <si>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</si>
  <si>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</si>
  <si>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</si>
  <si>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</si>
  <si>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</si>
  <si>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</si>
  <si>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</si>
  <si>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</si>
  <si>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</si>
  <si>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</si>
  <si>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</si>
  <si>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</si>
  <si>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</si>
  <si>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</si>
  <si>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</si>
  <si>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</si>
  <si>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</si>
  <si>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</si>
  <si>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</si>
  <si>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</si>
  <si>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</si>
  <si>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</si>
  <si>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</si>
  <si>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</si>
  <si>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</si>
  <si>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</si>
  <si>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</si>
  <si>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</si>
  <si>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</si>
  <si>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</si>
  <si>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</si>
  <si>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</si>
  <si>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</si>
  <si>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</si>
  <si>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</si>
  <si>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</si>
  <si>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</si>
  <si>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</si>
  <si>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</si>
  <si>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</si>
  <si>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</si>
  <si>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</si>
  <si>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</si>
  <si>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</si>
  <si>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</si>
  <si>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</si>
  <si>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</si>
  <si>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</si>
  <si>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</si>
  <si>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</si>
  <si>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</si>
  <si>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</si>
  <si>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</si>
  <si>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</si>
  <si>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</si>
  <si>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</si>
  <si>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</si>
  <si>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</si>
  <si>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</si>
  <si>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</si>
  <si>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</si>
  <si>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</si>
  <si>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</si>
  <si>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</si>
  <si>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</si>
  <si>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</si>
  <si>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</si>
  <si>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</si>
  <si>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</si>
  <si>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</si>
  <si>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</si>
  <si>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</si>
  <si>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</si>
  <si>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</si>
  <si>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</si>
  <si>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</si>
  <si>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</si>
  <si>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</si>
  <si>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</si>
  <si>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</si>
  <si>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</si>
  <si>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</si>
  <si>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</si>
  <si>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</si>
  <si>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</si>
  <si>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</si>
  <si>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</si>
  <si>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</si>
  <si>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</si>
  <si>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</si>
  <si>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</si>
  <si>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</si>
  <si>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</si>
  <si>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</si>
  <si>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</si>
  <si>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</si>
  <si>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</si>
  <si>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</si>
  <si>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</si>
  <si>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</si>
  <si>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</si>
  <si>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</si>
  <si>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</si>
  <si>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</si>
  <si>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</si>
  <si>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</si>
  <si>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</si>
  <si>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</si>
  <si>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</si>
  <si>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</si>
  <si>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</si>
  <si>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</si>
  <si>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</si>
  <si>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</si>
  <si>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</si>
  <si>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</si>
  <si>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</si>
  <si>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</si>
  <si>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</si>
  <si>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</si>
  <si>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</si>
  <si>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</si>
  <si>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</si>
  <si>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</si>
  <si>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</si>
  <si>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</si>
  <si>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</si>
  <si>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</si>
  <si>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</si>
  <si>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</si>
  <si>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</si>
  <si>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</si>
  <si>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</si>
  <si>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</si>
  <si>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</si>
  <si>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</si>
  <si>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</si>
  <si>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</si>
  <si>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</si>
  <si>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</si>
  <si>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</si>
  <si>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</si>
  <si>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</si>
  <si>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</si>
  <si>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</si>
  <si>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</si>
  <si>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</si>
  <si>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</si>
  <si>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</si>
  <si>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</si>
  <si>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</si>
  <si>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</si>
  <si>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</si>
  <si>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</si>
  <si>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</si>
  <si>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</si>
  <si>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</si>
  <si>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</si>
  <si>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</si>
  <si>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</si>
  <si>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</si>
  <si>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</si>
  <si>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</si>
  <si>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</si>
  <si>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</si>
  <si>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</si>
  <si>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</si>
  <si>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</si>
  <si>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</si>
  <si>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</si>
  <si>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</si>
  <si>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</si>
  <si>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</si>
  <si>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</si>
  <si>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</si>
  <si>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</si>
  <si>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</si>
  <si>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</si>
  <si>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</si>
  <si>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</si>
  <si>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</si>
  <si>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</si>
  <si>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</si>
  <si>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</si>
  <si>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</si>
  <si>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</si>
  <si>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</si>
  <si>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</si>
  <si>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</si>
  <si>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</si>
  <si>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</si>
  <si>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</si>
  <si>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</si>
  <si>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</si>
  <si>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</si>
  <si>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</si>
  <si>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</si>
  <si>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</si>
  <si>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</si>
  <si>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</si>
  <si>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</si>
  <si>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</si>
  <si>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</si>
  <si>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</si>
  <si>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</si>
  <si>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</si>
  <si>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</si>
  <si>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</si>
  <si>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</si>
  <si>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</si>
  <si>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</si>
  <si>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</si>
  <si>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</si>
  <si>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</si>
  <si>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</si>
  <si>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</si>
  <si>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</si>
  <si>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</si>
  <si>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</si>
  <si>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</si>
  <si>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</si>
  <si>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</si>
  <si>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</si>
  <si>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</si>
  <si>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</si>
  <si>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</si>
  <si>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</si>
  <si>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</si>
  <si>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</si>
  <si>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</si>
  <si>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</si>
  <si>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</si>
  <si>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</si>
  <si>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</si>
  <si>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</si>
  <si>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</si>
  <si>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</si>
  <si>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</si>
  <si>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</si>
  <si>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</si>
  <si>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</si>
  <si>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</si>
  <si>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</si>
  <si>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</si>
  <si>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</si>
  <si>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</si>
  <si>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</si>
  <si>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</si>
  <si>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</si>
  <si>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</si>
  <si>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</si>
  <si>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</si>
  <si>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</si>
  <si>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</si>
  <si>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</si>
  <si>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</si>
  <si>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</si>
  <si>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</si>
  <si>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</si>
  <si>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</si>
  <si>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</si>
  <si>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</si>
  <si>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</si>
  <si>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</si>
  <si>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</si>
  <si>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</si>
  <si>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</si>
  <si>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</si>
  <si>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</si>
  <si>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</si>
  <si>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</si>
  <si>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</si>
  <si>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</si>
  <si>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</si>
  <si>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</si>
  <si>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</si>
  <si>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</si>
  <si>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</si>
  <si>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</si>
  <si>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</si>
  <si>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</si>
  <si>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</si>
  <si>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</si>
  <si>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</si>
  <si>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</si>
  <si>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</si>
  <si>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</si>
  <si>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</si>
  <si>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</si>
  <si>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</si>
  <si>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</si>
  <si>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</si>
  <si>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</si>
  <si>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</si>
  <si>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</si>
  <si>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</si>
  <si>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</si>
  <si>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</si>
  <si>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</si>
  <si>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</si>
  <si>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</si>
  <si>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</si>
  <si>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</si>
  <si>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</si>
  <si>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</si>
  <si>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</si>
  <si>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</si>
  <si>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</si>
  <si>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</si>
  <si>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</si>
  <si>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</si>
  <si>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</si>
  <si>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</si>
  <si>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</si>
  <si>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</si>
  <si>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</si>
  <si>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</si>
  <si>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</si>
  <si>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</si>
  <si>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</si>
  <si>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</si>
  <si>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</si>
  <si>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</si>
  <si>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</si>
  <si>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</si>
  <si>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</si>
  <si>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</si>
  <si>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</si>
  <si>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</si>
  <si>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</si>
  <si>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</si>
  <si>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</si>
  <si>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</si>
  <si>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</si>
  <si>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</si>
  <si>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</si>
  <si>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</si>
  <si>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</si>
  <si>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</si>
  <si>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</si>
  <si>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</si>
  <si>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</si>
  <si>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</si>
  <si>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</si>
  <si>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</si>
  <si>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</si>
  <si>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</si>
  <si>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</si>
  <si>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</si>
  <si>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</si>
  <si>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</si>
  <si>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</si>
  <si>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</si>
  <si>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</si>
  <si>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</si>
  <si>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</si>
  <si>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</si>
  <si>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</si>
  <si>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</si>
  <si>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</si>
  <si>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</si>
  <si>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</si>
  <si>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</si>
  <si>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</si>
  <si>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</si>
  <si>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</si>
  <si>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</si>
  <si>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</si>
  <si>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</si>
  <si>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</si>
  <si>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</si>
  <si>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</si>
  <si>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</si>
  <si>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</si>
  <si>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</si>
  <si>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</si>
  <si>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</si>
  <si>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</si>
  <si>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</si>
  <si>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</si>
  <si>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</si>
  <si>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</si>
  <si>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</si>
  <si>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</si>
  <si>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</si>
  <si>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</si>
  <si>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</si>
  <si>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</si>
  <si>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</si>
  <si>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</si>
  <si>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</si>
  <si>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</si>
  <si>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</si>
  <si>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</si>
  <si>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</si>
  <si>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</si>
  <si>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</si>
  <si>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</si>
  <si>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</si>
  <si>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</si>
  <si>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</si>
  <si>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</si>
  <si>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</si>
  <si>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</si>
  <si>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</si>
  <si>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</si>
  <si>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</si>
  <si>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</si>
  <si>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</si>
  <si>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</si>
  <si>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</si>
  <si>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</si>
  <si>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</si>
  <si>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</si>
  <si>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</si>
  <si>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</si>
  <si>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</si>
  <si>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</si>
  <si>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</si>
  <si>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</si>
  <si>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</si>
  <si>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</si>
  <si>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</si>
  <si>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</si>
  <si>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</si>
  <si>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</si>
  <si>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</si>
  <si>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</si>
  <si>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</si>
  <si>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</si>
  <si>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</si>
  <si>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</si>
  <si>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</si>
  <si>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</si>
  <si>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</si>
  <si>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</si>
  <si>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</si>
  <si>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</si>
  <si>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</si>
  <si>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</si>
  <si>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</si>
  <si>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</si>
  <si>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</si>
  <si>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</si>
  <si>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</si>
  <si>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</si>
  <si>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</si>
  <si>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</si>
  <si>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</si>
  <si>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</si>
  <si>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</si>
  <si>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</si>
  <si>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</si>
  <si>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</si>
  <si>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</si>
  <si>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</si>
  <si>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</si>
  <si>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</si>
  <si>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</si>
  <si>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</si>
  <si>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</si>
  <si>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</si>
  <si>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</si>
  <si>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</si>
  <si>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</si>
  <si>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</si>
  <si>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</si>
  <si>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</si>
  <si>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</si>
  <si>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</si>
  <si>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</si>
  <si>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</si>
  <si>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</si>
  <si>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</si>
  <si>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</si>
  <si>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</si>
  <si>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</si>
  <si>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</si>
  <si>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</si>
  <si>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</si>
  <si>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</si>
  <si>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</si>
  <si>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</si>
  <si>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</si>
  <si>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</si>
  <si>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</si>
  <si>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</si>
  <si>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</si>
  <si>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</si>
  <si>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</si>
  <si>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</si>
  <si>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</si>
  <si>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</si>
  <si>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</si>
  <si>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</si>
  <si>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</si>
  <si>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</si>
  <si>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</si>
  <si>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</si>
  <si>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</si>
  <si>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</si>
  <si>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</si>
  <si>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</si>
  <si>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</si>
  <si>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</si>
  <si>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</si>
  <si>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</si>
  <si>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</si>
  <si>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</si>
  <si>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</si>
  <si>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</si>
  <si>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</si>
  <si>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</si>
  <si>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</si>
  <si>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</si>
  <si>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</si>
  <si>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</si>
  <si>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</si>
  <si>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</si>
  <si>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</si>
  <si>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</si>
  <si>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</si>
  <si>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</si>
  <si>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</si>
  <si>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</si>
  <si>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</si>
  <si>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</si>
  <si>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</si>
  <si>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</si>
  <si>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</si>
  <si>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</si>
  <si>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</si>
  <si>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</si>
  <si>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</si>
  <si>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</si>
  <si>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</si>
  <si>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</si>
  <si>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</si>
  <si>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</si>
  <si>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</si>
  <si>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</si>
  <si>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</si>
  <si>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</si>
  <si>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</si>
  <si>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</si>
  <si>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</si>
  <si>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</si>
  <si>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</si>
  <si>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</si>
  <si>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</si>
  <si>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</si>
  <si>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</si>
  <si>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</si>
  <si>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</si>
  <si>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</si>
  <si>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</si>
  <si>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</si>
  <si>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</si>
  <si>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</si>
  <si>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</si>
  <si>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</si>
  <si>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</si>
  <si>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</si>
  <si>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</si>
  <si>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</si>
  <si>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</si>
  <si>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</si>
  <si>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</si>
  <si>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</si>
  <si>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</si>
  <si>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</si>
  <si>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</si>
  <si>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</si>
  <si>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</si>
  <si>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</si>
  <si>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</si>
  <si>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</si>
  <si>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</si>
  <si>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</si>
  <si>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</si>
  <si>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</si>
  <si>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</si>
  <si>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</si>
  <si>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</si>
  <si>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</si>
  <si>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</si>
  <si>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</si>
  <si>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</si>
  <si>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</si>
  <si>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</si>
  <si>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</si>
  <si>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</si>
  <si>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</si>
  <si>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</si>
  <si>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</si>
  <si>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</si>
  <si>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</si>
  <si>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</si>
  <si>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</si>
  <si>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</si>
  <si>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</si>
  <si>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</si>
  <si>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</si>
  <si>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</si>
  <si>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</si>
  <si>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</si>
  <si>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</si>
  <si>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</si>
  <si>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</si>
  <si>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</si>
  <si>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</si>
  <si>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</si>
  <si>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</si>
  <si>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</si>
  <si>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</si>
  <si>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</si>
  <si>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</si>
  <si>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</si>
  <si>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</si>
  <si>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</si>
  <si>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</si>
  <si>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</si>
  <si>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</si>
  <si>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</si>
  <si>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</si>
  <si>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</si>
  <si>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</si>
  <si>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</si>
  <si>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</si>
  <si>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</si>
  <si>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</si>
  <si>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</si>
  <si>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</si>
  <si>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</si>
  <si>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</si>
  <si>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</si>
  <si>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</si>
  <si>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</si>
  <si>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</si>
  <si>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</si>
  <si>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</si>
  <si>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</si>
  <si>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</si>
  <si>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</si>
  <si>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</si>
  <si>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</si>
  <si>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</si>
  <si>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</si>
  <si>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</si>
  <si>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</si>
  <si>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</si>
  <si>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</si>
  <si>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</si>
  <si>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</si>
  <si>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</si>
  <si>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</si>
  <si>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</si>
  <si>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</si>
  <si>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</si>
  <si>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</si>
  <si>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</si>
  <si>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</si>
  <si>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</si>
  <si>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</si>
  <si>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</si>
  <si>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</si>
  <si>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</si>
  <si>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</si>
  <si>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</si>
  <si>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</si>
  <si>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</si>
  <si>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</si>
  <si>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</si>
  <si>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</si>
  <si>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</si>
  <si>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</si>
  <si>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</si>
  <si>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</si>
  <si>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</si>
  <si>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</si>
  <si>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</si>
  <si>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</si>
  <si>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</si>
  <si>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</si>
  <si>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</si>
  <si>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</si>
  <si>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</si>
  <si>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</si>
  <si>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</si>
  <si>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</si>
  <si>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</si>
  <si>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</si>
  <si>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</si>
  <si>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</si>
  <si>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</si>
  <si>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</si>
  <si>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</si>
  <si>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</si>
  <si>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</si>
  <si>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</si>
  <si>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</si>
  <si>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</si>
  <si>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</si>
  <si>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</si>
  <si>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</si>
  <si>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</si>
  <si>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</si>
  <si>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</si>
  <si>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</si>
  <si>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</si>
  <si>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</si>
  <si>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</si>
  <si>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</si>
  <si>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</si>
  <si>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</si>
  <si>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</si>
  <si>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</si>
  <si>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</si>
  <si>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</si>
  <si>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</si>
  <si>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</si>
  <si>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</si>
  <si>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</si>
  <si>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</si>
  <si>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</si>
  <si>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</si>
  <si>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</si>
  <si>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</si>
  <si>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</si>
  <si>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</si>
  <si>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</si>
  <si>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</si>
  <si>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</si>
  <si>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</si>
  <si>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</si>
  <si>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</si>
  <si>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</si>
  <si>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</si>
  <si>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</si>
  <si>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</si>
  <si>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</si>
  <si>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</si>
  <si>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</si>
  <si>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</si>
  <si>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</si>
  <si>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</si>
  <si>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</si>
  <si>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</si>
  <si>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</si>
  <si>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</si>
  <si>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</si>
  <si>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</si>
  <si>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</si>
  <si>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</si>
  <si>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</si>
  <si>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</si>
  <si>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</si>
  <si>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</si>
  <si>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</si>
  <si>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</si>
  <si>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</si>
  <si>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</si>
  <si>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</si>
  <si>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</si>
  <si>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</si>
  <si>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</si>
  <si>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</si>
  <si>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</si>
  <si>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</si>
  <si>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</si>
  <si>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</si>
  <si>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</si>
  <si>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</si>
  <si>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</si>
  <si>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</si>
  <si>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</si>
  <si>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</si>
  <si>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</si>
  <si>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</si>
  <si>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</si>
  <si>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</si>
  <si>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</si>
  <si>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</si>
  <si>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</si>
  <si>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</si>
  <si>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</si>
  <si>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</si>
  <si>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</si>
  <si>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</si>
  <si>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</si>
  <si>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</si>
  <si>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</si>
  <si>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</si>
  <si>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</si>
  <si>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</si>
  <si>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</si>
  <si>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</si>
  <si>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</si>
  <si>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</si>
  <si>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</si>
  <si>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</si>
  <si>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</si>
  <si>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</si>
  <si>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</si>
  <si>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</si>
  <si>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</si>
  <si>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</si>
  <si>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</si>
  <si>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</si>
  <si>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</si>
  <si>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</si>
  <si>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</si>
  <si>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</si>
  <si>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</si>
  <si>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</si>
  <si>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</si>
  <si>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</si>
  <si>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</si>
  <si>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</si>
  <si>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</si>
  <si>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</si>
  <si>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</si>
  <si>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</si>
  <si>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</si>
  <si>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</si>
  <si>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</si>
  <si>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</si>
  <si>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</si>
  <si>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</si>
  <si>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</si>
  <si>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</si>
  <si>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</si>
  <si>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</si>
  <si>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</si>
  <si>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</si>
  <si>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</si>
  <si>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</si>
  <si>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</si>
  <si>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</si>
  <si>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</si>
  <si>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</si>
  <si>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</si>
  <si>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</si>
  <si>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</si>
  <si>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</si>
  <si>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</si>
  <si>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</si>
  <si>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</si>
  <si>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</si>
  <si>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</si>
  <si>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</si>
  <si>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</si>
  <si>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</si>
  <si>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</si>
  <si>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</si>
  <si>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</si>
  <si>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</si>
  <si>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</si>
  <si>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</si>
  <si>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</si>
  <si>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</si>
  <si>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</si>
  <si>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</si>
  <si>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</si>
  <si>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</si>
  <si>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</si>
  <si>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</si>
  <si>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</si>
  <si>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</si>
  <si>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</si>
  <si>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</si>
  <si>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</si>
  <si>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</si>
  <si>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</si>
  <si>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</si>
  <si>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</si>
  <si>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</si>
  <si>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</si>
  <si>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</si>
  <si>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</si>
  <si>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</si>
  <si>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</si>
  <si>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</si>
  <si>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</si>
  <si>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</si>
  <si>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</si>
  <si>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</si>
  <si>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</si>
  <si>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</si>
  <si>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</si>
  <si>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</si>
  <si>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</si>
  <si>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</si>
  <si>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</si>
  <si>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</si>
  <si>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</si>
  <si>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</si>
  <si>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</si>
  <si>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</si>
  <si>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</si>
  <si>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</si>
  <si>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</si>
  <si>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</si>
  <si>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</si>
  <si>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</si>
  <si>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</si>
  <si>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</si>
  <si>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</si>
  <si>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</si>
  <si>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</si>
  <si>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</si>
  <si>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</si>
  <si>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</si>
  <si>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</si>
  <si>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</si>
  <si>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</si>
  <si>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</si>
  <si>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</si>
  <si>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</si>
  <si>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</si>
  <si>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</si>
  <si>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</si>
  <si>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</si>
  <si>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</si>
  <si>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</si>
  <si>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</si>
  <si>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</si>
  <si>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</si>
  <si>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</si>
  <si>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</si>
  <si>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</si>
  <si>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</si>
  <si>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</si>
  <si>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</si>
  <si>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</si>
  <si>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</si>
  <si>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</si>
  <si>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</si>
  <si>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</si>
  <si>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</si>
  <si>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</si>
  <si>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</si>
  <si>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</si>
  <si>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</si>
  <si>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</si>
  <si>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</si>
  <si>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</si>
  <si>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</si>
  <si>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</si>
  <si>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</si>
  <si>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</si>
  <si>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</si>
  <si>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</si>
  <si>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</si>
  <si>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</si>
  <si>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</si>
  <si>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</si>
  <si>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</si>
  <si>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</si>
  <si>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</si>
  <si>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</si>
  <si>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</si>
  <si>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</si>
  <si>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</si>
  <si>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</si>
  <si>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</si>
  <si>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</si>
  <si>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</si>
  <si>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</si>
  <si>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</si>
  <si>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</si>
  <si>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</si>
  <si>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</si>
  <si>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</si>
  <si>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</si>
  <si>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</si>
  <si>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</si>
  <si>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</si>
  <si>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</si>
  <si>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</si>
  <si>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</si>
  <si>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</si>
  <si>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</si>
  <si>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</si>
  <si>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</si>
  <si>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</si>
  <si>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</si>
  <si>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</si>
  <si>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</si>
  <si>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</si>
  <si>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</si>
  <si>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</si>
  <si>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</si>
  <si>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</si>
  <si>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</si>
  <si>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</si>
  <si>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</si>
  <si>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</si>
  <si>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</si>
  <si>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</si>
  <si>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</si>
  <si>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</si>
  <si>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</si>
  <si>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</si>
  <si>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</si>
  <si>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</si>
  <si>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</si>
  <si>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</si>
  <si>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</si>
  <si>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</si>
  <si>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</si>
  <si>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</si>
  <si>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</si>
  <si>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</si>
  <si>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</si>
  <si>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</si>
  <si>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</si>
  <si>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</si>
  <si>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</si>
  <si>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</si>
  <si>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</si>
  <si>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</si>
  <si>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</si>
  <si>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</si>
  <si>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</si>
  <si>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</si>
  <si>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</si>
  <si>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</si>
  <si>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</si>
  <si>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</si>
  <si>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</si>
  <si>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</si>
  <si>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</si>
  <si>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</si>
  <si>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</si>
  <si>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</si>
  <si>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</si>
  <si>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</si>
  <si>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</si>
  <si>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</si>
  <si>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</si>
  <si>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</si>
  <si>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</si>
  <si>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</si>
  <si>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</si>
  <si>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</si>
  <si>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</si>
  <si>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</si>
  <si>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</si>
  <si>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</si>
  <si>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</si>
  <si>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</si>
  <si>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</si>
  <si>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</si>
  <si>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</si>
  <si>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</si>
  <si>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</si>
  <si>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</si>
  <si>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</si>
  <si>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</si>
  <si>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</si>
  <si>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</si>
  <si>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</si>
  <si>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</si>
  <si>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</si>
  <si>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</si>
  <si>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</si>
  <si>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</si>
  <si>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</si>
  <si>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</si>
  <si>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</si>
  <si>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</si>
  <si>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</si>
  <si>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</si>
  <si>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</si>
  <si>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</si>
  <si>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</si>
  <si>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</si>
  <si>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</si>
  <si>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</si>
  <si>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</si>
  <si>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</si>
  <si>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</si>
  <si>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</si>
  <si>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</si>
  <si>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</si>
  <si>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</si>
  <si>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</si>
  <si>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</si>
  <si>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</si>
  <si>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</si>
  <si>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</si>
  <si>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</si>
  <si>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</si>
  <si>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</si>
  <si>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</si>
  <si>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</si>
  <si>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</si>
  <si>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</si>
  <si>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</si>
  <si>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</si>
  <si>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</si>
  <si>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</si>
  <si>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</si>
  <si>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</si>
  <si>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</si>
  <si>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</si>
  <si>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</si>
  <si>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</si>
  <si>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</si>
  <si>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</si>
  <si>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</si>
  <si>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</si>
  <si>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</si>
  <si>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</si>
  <si>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</si>
  <si>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</si>
  <si>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</si>
  <si>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</si>
  <si>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</si>
  <si>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</si>
  <si>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</si>
  <si>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</si>
  <si>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</si>
  <si>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</si>
  <si>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</si>
  <si>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</si>
  <si>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</si>
  <si>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</si>
  <si>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</si>
  <si>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</si>
  <si>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</si>
  <si>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</si>
  <si>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</si>
  <si>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</si>
  <si>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</si>
  <si>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</si>
  <si>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</si>
  <si>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</si>
  <si>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</si>
  <si>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</si>
  <si>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</si>
  <si>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</si>
  <si>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</si>
  <si>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</si>
  <si>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</si>
  <si>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</si>
  <si>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</si>
  <si>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</si>
  <si>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</si>
  <si>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</si>
  <si>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</si>
  <si>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</si>
  <si>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</si>
  <si>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</si>
  <si>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</si>
  <si>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</si>
  <si>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</si>
  <si>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</si>
  <si>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</si>
  <si>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</si>
  <si>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</si>
  <si>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</si>
  <si>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</si>
  <si>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</si>
  <si>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</si>
  <si>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</si>
  <si>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</si>
  <si>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</si>
  <si>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</si>
  <si>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</si>
  <si>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</si>
  <si>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</si>
  <si>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</si>
  <si>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</si>
  <si>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</si>
  <si>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</si>
  <si>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</si>
  <si>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</si>
  <si>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</si>
  <si>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</si>
  <si>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</si>
  <si>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</si>
  <si>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</si>
  <si>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</si>
  <si>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</si>
  <si>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</si>
  <si>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</si>
  <si>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</si>
  <si>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</si>
  <si>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</si>
  <si>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</si>
  <si>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</si>
  <si>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</si>
  <si>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</si>
  <si>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</si>
  <si>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</si>
  <si>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</si>
  <si>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</si>
  <si>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</si>
  <si>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</si>
  <si>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</si>
  <si>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</si>
  <si>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</si>
  <si>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</si>
  <si>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</si>
  <si>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</si>
  <si>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</si>
  <si>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</si>
  <si>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</si>
  <si>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</si>
  <si>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</si>
  <si>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</si>
  <si>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</si>
  <si>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</si>
  <si>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</si>
  <si>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</si>
  <si>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</si>
  <si>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</si>
  <si>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</si>
  <si>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</si>
  <si>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</si>
  <si>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</si>
  <si>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</si>
  <si>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</si>
  <si>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</si>
  <si>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</si>
  <si>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</si>
  <si>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</si>
  <si>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</si>
  <si>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</si>
  <si>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</si>
  <si>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</si>
  <si>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</si>
  <si>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</si>
  <si>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</si>
  <si>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</si>
  <si>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</si>
  <si>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</si>
  <si>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</si>
  <si>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</si>
  <si>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</si>
  <si>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</si>
  <si>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</si>
  <si>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</si>
  <si>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</si>
  <si>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</si>
  <si>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</si>
  <si>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</si>
  <si>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</si>
  <si>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</si>
  <si>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</si>
  <si>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</si>
  <si>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</si>
  <si>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</si>
  <si>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</si>
  <si>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</si>
  <si>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</si>
  <si>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</si>
  <si>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</si>
  <si>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</si>
  <si>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</si>
  <si>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</si>
  <si>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</si>
  <si>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</si>
  <si>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</si>
  <si>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</si>
  <si>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</si>
  <si>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</si>
  <si>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</si>
  <si>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</si>
  <si>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</si>
  <si>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</si>
  <si>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</si>
  <si>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</si>
  <si>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</si>
  <si>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</si>
  <si>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</si>
  <si>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</si>
  <si>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</si>
  <si>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</si>
  <si>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</si>
  <si>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</si>
  <si>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</si>
  <si>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</si>
  <si>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</si>
  <si>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</si>
  <si>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</si>
  <si>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</si>
  <si>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</si>
  <si>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</si>
  <si>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</si>
  <si>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</si>
  <si>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</si>
  <si>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</si>
  <si>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</si>
  <si>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</si>
  <si>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</si>
  <si>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</si>
  <si>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</si>
  <si>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</si>
  <si>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</si>
  <si>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</si>
  <si>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</si>
  <si>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</si>
  <si>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</si>
  <si>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</si>
  <si>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</si>
  <si>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</si>
  <si>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</si>
  <si>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</si>
  <si>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</si>
  <si>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</si>
  <si>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</si>
  <si>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</si>
  <si>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</si>
  <si>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</si>
  <si>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</si>
  <si>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</si>
  <si>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</si>
  <si>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</si>
  <si>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</si>
  <si>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</si>
  <si>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</si>
  <si>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</si>
  <si>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</si>
  <si>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</si>
  <si>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</si>
  <si>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</si>
  <si>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</si>
  <si>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</si>
  <si>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</si>
  <si>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</si>
  <si>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</si>
  <si>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</si>
  <si>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</si>
  <si>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</si>
  <si>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</si>
  <si>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</si>
  <si>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</si>
  <si>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</si>
  <si>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</si>
  <si>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</si>
  <si>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</si>
  <si>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</si>
  <si>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</si>
  <si>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</si>
  <si>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</si>
  <si>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</si>
  <si>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</si>
  <si>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</si>
  <si>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</si>
  <si>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</si>
  <si>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</si>
  <si>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</si>
  <si>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</si>
  <si>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</si>
  <si>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</si>
  <si>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</si>
  <si>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</si>
  <si>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</si>
  <si>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</si>
  <si>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</si>
  <si>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</si>
  <si>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</si>
  <si>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</si>
  <si>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</si>
  <si>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</si>
  <si>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</si>
  <si>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</si>
  <si>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</si>
  <si>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</si>
  <si>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</si>
  <si>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</si>
  <si>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</si>
  <si>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</si>
  <si>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</si>
  <si>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</si>
  <si>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</si>
  <si>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</si>
  <si>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</si>
  <si>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</si>
  <si>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</si>
  <si>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</si>
  <si>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</si>
  <si>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</si>
  <si>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</si>
  <si>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</si>
  <si>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</si>
  <si>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</si>
  <si>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</si>
  <si>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</si>
  <si>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</si>
  <si>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</si>
  <si>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</si>
  <si>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</si>
  <si>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</si>
  <si>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</si>
  <si>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</si>
  <si>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</si>
  <si>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</si>
  <si>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</si>
  <si>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</si>
  <si>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</si>
  <si>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</si>
  <si>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</si>
  <si>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</si>
  <si>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</si>
  <si>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</si>
  <si>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</si>
  <si>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</si>
  <si>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</si>
  <si>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</si>
  <si>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</si>
  <si>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</si>
  <si>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</si>
  <si>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</si>
  <si>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</si>
  <si>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</si>
  <si>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</si>
  <si>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</si>
  <si>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</si>
  <si>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</si>
  <si>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</si>
  <si>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</si>
  <si>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</si>
  <si>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</si>
  <si>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</si>
  <si>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</si>
  <si>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</si>
  <si>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</si>
  <si>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</si>
  <si>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</si>
  <si>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</si>
  <si>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</si>
  <si>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</si>
  <si>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</si>
  <si>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</si>
  <si>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</si>
  <si>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</si>
  <si>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</si>
  <si>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</si>
  <si>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</si>
  <si>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</si>
  <si>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SnowFROC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</si>
  <si>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</si>
  <si>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</si>
  <si>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</si>
  <si>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</si>
  <si>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</si>
  <si>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</si>
  <si>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</si>
  <si>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Expense:Dublin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</si>
  <si>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</si>
  <si>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</si>
  <si>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</si>
  <si>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</si>
  <si>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</si>
  <si>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</si>
  <si>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</si>
  <si>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</si>
  <si>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</si>
  <si>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intive GmbH</t>
  </si>
  <si>
    <t>Cycode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</si>
  <si>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</si>
  <si>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</si>
  <si>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</si>
  <si>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</si>
  <si>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</si>
  <si>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</si>
  <si>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</si>
  <si>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</si>
  <si>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</si>
  <si>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</si>
  <si>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</si>
  <si>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</si>
  <si>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</si>
  <si>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</si>
  <si>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</si>
  <si>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</si>
  <si>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</si>
  <si>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</si>
  <si>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</si>
  <si>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</si>
  <si>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</si>
  <si>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</si>
  <si>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</si>
  <si>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</si>
  <si>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</si>
  <si>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</si>
  <si>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</si>
  <si>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</si>
  <si>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</si>
  <si>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</si>
  <si>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</si>
  <si>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</si>
  <si>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</si>
  <si>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</si>
  <si>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</si>
  <si>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</si>
  <si>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</si>
  <si>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</si>
  <si>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</si>
  <si>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</si>
  <si>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</si>
  <si>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</si>
  <si>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</si>
  <si>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</si>
  <si>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</si>
  <si>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</si>
  <si>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</si>
  <si>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</si>
  <si>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</si>
  <si>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</si>
  <si>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</si>
  <si>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</si>
  <si>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</si>
  <si>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</si>
  <si>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</si>
  <si>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</si>
  <si>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</si>
  <si>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</si>
  <si>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</si>
  <si>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</si>
  <si>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</si>
  <si>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</si>
  <si>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</si>
  <si>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</si>
  <si>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</si>
  <si>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Twilio Inc.</t>
  </si>
  <si>
    <t>Combined YTD</t>
  </si>
  <si>
    <t>US-EU</t>
  </si>
  <si>
    <t>YTD US-EU</t>
  </si>
  <si>
    <t>FY22 Bud</t>
  </si>
  <si>
    <t>FY 22 YTD Bud</t>
  </si>
  <si>
    <t xml:space="preserve">General &amp; Administrative/Professional </t>
  </si>
  <si>
    <t>Accrued Liabilities</t>
  </si>
  <si>
    <t>YTD US P&amp;L 22 vs 21</t>
  </si>
  <si>
    <t>Deferred Call to Battle Sponsor</t>
  </si>
  <si>
    <t>AppSec Day</t>
  </si>
  <si>
    <t>Miscellaneous</t>
  </si>
  <si>
    <t>Chapter Funding - OotM</t>
  </si>
  <si>
    <t>Conference Income - Other</t>
  </si>
  <si>
    <t>Your Membership</t>
  </si>
  <si>
    <t>HCL Software Products Limited</t>
  </si>
  <si>
    <t>Deferred Revenue:AppSec EU</t>
  </si>
  <si>
    <t>20th Anniversary 2021</t>
  </si>
  <si>
    <t>APAC Prepaid</t>
  </si>
  <si>
    <t>Deferred Revenue:BeNeLux Day</t>
  </si>
  <si>
    <t>Prepaid Expense:APAC Prepaid</t>
  </si>
  <si>
    <t>Prepaid Expense:AppSec EU</t>
  </si>
  <si>
    <t>Secura</t>
  </si>
  <si>
    <t>Scitum S.A. de C.V.</t>
  </si>
  <si>
    <t>Kantoor Rechtszekerheid</t>
  </si>
  <si>
    <t>Giuseppe Trovato</t>
  </si>
  <si>
    <t>***These reports do NOT consider the VZW which has had no activity in 2022</t>
  </si>
  <si>
    <t>Def Pacific Northwest APPSEC</t>
  </si>
  <si>
    <t>Webinars</t>
  </si>
  <si>
    <t>Staff Travel</t>
  </si>
  <si>
    <t>Benefits</t>
  </si>
  <si>
    <t>Payroll Taxes/Fees</t>
  </si>
  <si>
    <t>Deferred Revenue:Def Pacific Northwest APPSEC</t>
  </si>
  <si>
    <t>Deferred Revenue:LASCON</t>
  </si>
  <si>
    <t>Prepaid Expense:LASCON</t>
  </si>
  <si>
    <t>Convention Centre Dublin</t>
  </si>
  <si>
    <t>GuardSquare</t>
  </si>
  <si>
    <t xml:space="preserve">Balance sheet Year over Year May 22  US Only </t>
  </si>
  <si>
    <t>US  P&amp;L YOY May 22</t>
  </si>
  <si>
    <t>May  22 Board Summary</t>
  </si>
  <si>
    <t>Portland Training Day</t>
  </si>
  <si>
    <t>Deferred Lightening talks</t>
  </si>
  <si>
    <t>May 31, 21</t>
  </si>
  <si>
    <t>May 31, 22</t>
  </si>
  <si>
    <t>Temitope Odemo - Expenses</t>
  </si>
  <si>
    <t>Keshav Rajput</t>
  </si>
  <si>
    <t>Gesmer Updegrove</t>
  </si>
  <si>
    <t>Daniel Mullen - Expenses</t>
  </si>
  <si>
    <t>Daniel Macs - Expenses</t>
  </si>
  <si>
    <t>PROBE.LY - SOLUÇÕES DE CIB</t>
  </si>
  <si>
    <t>Github, Inc.</t>
  </si>
  <si>
    <t>Detectify AB</t>
  </si>
  <si>
    <t>Data Protection Institute BV</t>
  </si>
  <si>
    <t>Aqua Security Software Ltd.</t>
  </si>
  <si>
    <t>Aeye Security Lab, Inc.</t>
  </si>
  <si>
    <t>Deferred Revenue:AppSec US</t>
  </si>
  <si>
    <t>Deferred Revenue:20th Anniversary 2021</t>
  </si>
  <si>
    <t>Jan - May 22</t>
  </si>
  <si>
    <t>May 21</t>
  </si>
  <si>
    <t>May 22</t>
  </si>
  <si>
    <t>Jan - May 21</t>
  </si>
  <si>
    <t>May 2022</t>
  </si>
  <si>
    <t>as of  6.23.22</t>
  </si>
  <si>
    <t>Donations-grants</t>
  </si>
  <si>
    <t>YTD 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</si>
</sst>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2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</cellStyleXfs>
  <cellXfs count="153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0" fontId="0" fillId="0" borderId="0" xfId="0" applyBorder="1" applyAlignment="1">
      <alignment horizontal="center"/>
    </xf>
  </cellXfs>
  <cellStyles count="5">
    <cellStyle name="Bad" xfId="2" builtinId="27"/>
    <cellStyle name="Good" xfId="1" builtinId="26"/>
    <cellStyle name="Hyperlink" xfId="3" builtinId="8"/>
    <cellStyle name="Neutral" xfId="4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5.emf"/><Relationship Id="rId7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2.emf"/><Relationship Id="rId5" Type="http://schemas.openxmlformats.org/officeDocument/2006/relationships/image" Target="../media/image3.emf"/><Relationship Id="rId10" Type="http://schemas.openxmlformats.org/officeDocument/2006/relationships/image" Target="../media/image11.emf"/><Relationship Id="rId4" Type="http://schemas.openxmlformats.org/officeDocument/2006/relationships/image" Target="../media/image4.emf"/><Relationship Id="rId9" Type="http://schemas.openxmlformats.org/officeDocument/2006/relationships/image" Target="../media/image10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3" Type="http://schemas.openxmlformats.org/officeDocument/2006/relationships/image" Target="../media/image74.emf"/><Relationship Id="rId7" Type="http://schemas.openxmlformats.org/officeDocument/2006/relationships/image" Target="../media/image71.emf"/><Relationship Id="rId2" Type="http://schemas.openxmlformats.org/officeDocument/2006/relationships/image" Target="../media/image73.emf"/><Relationship Id="rId1" Type="http://schemas.openxmlformats.org/officeDocument/2006/relationships/image" Target="../media/image72.emf"/><Relationship Id="rId6" Type="http://schemas.openxmlformats.org/officeDocument/2006/relationships/image" Target="../media/image77.emf"/><Relationship Id="rId5" Type="http://schemas.openxmlformats.org/officeDocument/2006/relationships/image" Target="../media/image76.emf"/><Relationship Id="rId4" Type="http://schemas.openxmlformats.org/officeDocument/2006/relationships/image" Target="../media/image75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0.emf"/><Relationship Id="rId13" Type="http://schemas.openxmlformats.org/officeDocument/2006/relationships/image" Target="../media/image92.emf"/><Relationship Id="rId18" Type="http://schemas.openxmlformats.org/officeDocument/2006/relationships/image" Target="../media/image78.emf"/><Relationship Id="rId3" Type="http://schemas.openxmlformats.org/officeDocument/2006/relationships/image" Target="../media/image85.emf"/><Relationship Id="rId7" Type="http://schemas.openxmlformats.org/officeDocument/2006/relationships/image" Target="../media/image81.emf"/><Relationship Id="rId12" Type="http://schemas.openxmlformats.org/officeDocument/2006/relationships/image" Target="../media/image91.emf"/><Relationship Id="rId17" Type="http://schemas.openxmlformats.org/officeDocument/2006/relationships/image" Target="../media/image79.emf"/><Relationship Id="rId2" Type="http://schemas.openxmlformats.org/officeDocument/2006/relationships/image" Target="../media/image87.emf"/><Relationship Id="rId16" Type="http://schemas.openxmlformats.org/officeDocument/2006/relationships/image" Target="../media/image95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11" Type="http://schemas.openxmlformats.org/officeDocument/2006/relationships/image" Target="../media/image90.emf"/><Relationship Id="rId5" Type="http://schemas.openxmlformats.org/officeDocument/2006/relationships/image" Target="../media/image83.emf"/><Relationship Id="rId15" Type="http://schemas.openxmlformats.org/officeDocument/2006/relationships/image" Target="../media/image94.emf"/><Relationship Id="rId10" Type="http://schemas.openxmlformats.org/officeDocument/2006/relationships/image" Target="../media/image89.emf"/><Relationship Id="rId4" Type="http://schemas.openxmlformats.org/officeDocument/2006/relationships/image" Target="../media/image84.emf"/><Relationship Id="rId9" Type="http://schemas.openxmlformats.org/officeDocument/2006/relationships/image" Target="../media/image88.emf"/><Relationship Id="rId14" Type="http://schemas.openxmlformats.org/officeDocument/2006/relationships/image" Target="../media/image93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emf"/><Relationship Id="rId3" Type="http://schemas.openxmlformats.org/officeDocument/2006/relationships/image" Target="../media/image99.emf"/><Relationship Id="rId7" Type="http://schemas.openxmlformats.org/officeDocument/2006/relationships/image" Target="../media/image102.emf"/><Relationship Id="rId2" Type="http://schemas.openxmlformats.org/officeDocument/2006/relationships/image" Target="../media/image101.emf"/><Relationship Id="rId1" Type="http://schemas.openxmlformats.org/officeDocument/2006/relationships/image" Target="../media/image100.emf"/><Relationship Id="rId6" Type="http://schemas.openxmlformats.org/officeDocument/2006/relationships/image" Target="../media/image96.emf"/><Relationship Id="rId5" Type="http://schemas.openxmlformats.org/officeDocument/2006/relationships/image" Target="../media/image97.emf"/><Relationship Id="rId4" Type="http://schemas.openxmlformats.org/officeDocument/2006/relationships/image" Target="../media/image9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emf"/><Relationship Id="rId3" Type="http://schemas.openxmlformats.org/officeDocument/2006/relationships/image" Target="../media/image109.emf"/><Relationship Id="rId7" Type="http://schemas.openxmlformats.org/officeDocument/2006/relationships/image" Target="../media/image112.emf"/><Relationship Id="rId12" Type="http://schemas.openxmlformats.org/officeDocument/2006/relationships/image" Target="../media/image104.emf"/><Relationship Id="rId2" Type="http://schemas.openxmlformats.org/officeDocument/2006/relationships/image" Target="../media/image111.emf"/><Relationship Id="rId1" Type="http://schemas.openxmlformats.org/officeDocument/2006/relationships/image" Target="../media/image110.emf"/><Relationship Id="rId6" Type="http://schemas.openxmlformats.org/officeDocument/2006/relationships/image" Target="../media/image106.emf"/><Relationship Id="rId11" Type="http://schemas.openxmlformats.org/officeDocument/2006/relationships/image" Target="../media/image105.emf"/><Relationship Id="rId5" Type="http://schemas.openxmlformats.org/officeDocument/2006/relationships/image" Target="../media/image107.emf"/><Relationship Id="rId10" Type="http://schemas.openxmlformats.org/officeDocument/2006/relationships/image" Target="../media/image115.emf"/><Relationship Id="rId4" Type="http://schemas.openxmlformats.org/officeDocument/2006/relationships/image" Target="../media/image108.emf"/><Relationship Id="rId9" Type="http://schemas.openxmlformats.org/officeDocument/2006/relationships/image" Target="../media/image11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emf"/><Relationship Id="rId3" Type="http://schemas.openxmlformats.org/officeDocument/2006/relationships/image" Target="../media/image119.emf"/><Relationship Id="rId7" Type="http://schemas.openxmlformats.org/officeDocument/2006/relationships/image" Target="../media/image122.emf"/><Relationship Id="rId2" Type="http://schemas.openxmlformats.org/officeDocument/2006/relationships/image" Target="../media/image121.emf"/><Relationship Id="rId1" Type="http://schemas.openxmlformats.org/officeDocument/2006/relationships/image" Target="../media/image120.emf"/><Relationship Id="rId6" Type="http://schemas.openxmlformats.org/officeDocument/2006/relationships/image" Target="../media/image116.emf"/><Relationship Id="rId5" Type="http://schemas.openxmlformats.org/officeDocument/2006/relationships/image" Target="../media/image117.emf"/><Relationship Id="rId10" Type="http://schemas.openxmlformats.org/officeDocument/2006/relationships/image" Target="../media/image125.emf"/><Relationship Id="rId4" Type="http://schemas.openxmlformats.org/officeDocument/2006/relationships/image" Target="../media/image118.emf"/><Relationship Id="rId9" Type="http://schemas.openxmlformats.org/officeDocument/2006/relationships/image" Target="../media/image12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2.emf"/><Relationship Id="rId7" Type="http://schemas.openxmlformats.org/officeDocument/2006/relationships/image" Target="../media/image24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8.emf"/><Relationship Id="rId5" Type="http://schemas.openxmlformats.org/officeDocument/2006/relationships/image" Target="../media/image19.emf"/><Relationship Id="rId4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image" Target="../media/image34.emf"/><Relationship Id="rId7" Type="http://schemas.openxmlformats.org/officeDocument/2006/relationships/image" Target="../media/image36.emf"/><Relationship Id="rId12" Type="http://schemas.openxmlformats.org/officeDocument/2006/relationships/image" Target="../media/image26.emf"/><Relationship Id="rId2" Type="http://schemas.openxmlformats.org/officeDocument/2006/relationships/image" Target="../media/image33.emf"/><Relationship Id="rId1" Type="http://schemas.openxmlformats.org/officeDocument/2006/relationships/image" Target="../media/image32.emf"/><Relationship Id="rId6" Type="http://schemas.openxmlformats.org/officeDocument/2006/relationships/image" Target="../media/image30.emf"/><Relationship Id="rId11" Type="http://schemas.openxmlformats.org/officeDocument/2006/relationships/image" Target="../media/image27.emf"/><Relationship Id="rId5" Type="http://schemas.openxmlformats.org/officeDocument/2006/relationships/image" Target="../media/image31.emf"/><Relationship Id="rId10" Type="http://schemas.openxmlformats.org/officeDocument/2006/relationships/image" Target="../media/image28.emf"/><Relationship Id="rId4" Type="http://schemas.openxmlformats.org/officeDocument/2006/relationships/image" Target="../media/image35.emf"/><Relationship Id="rId9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3" Type="http://schemas.openxmlformats.org/officeDocument/2006/relationships/image" Target="../media/image44.emf"/><Relationship Id="rId7" Type="http://schemas.openxmlformats.org/officeDocument/2006/relationships/image" Target="../media/image41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7.emf"/><Relationship Id="rId5" Type="http://schemas.openxmlformats.org/officeDocument/2006/relationships/image" Target="../media/image46.emf"/><Relationship Id="rId10" Type="http://schemas.openxmlformats.org/officeDocument/2006/relationships/image" Target="../media/image38.emf"/><Relationship Id="rId4" Type="http://schemas.openxmlformats.org/officeDocument/2006/relationships/image" Target="../media/image45.emf"/><Relationship Id="rId9" Type="http://schemas.openxmlformats.org/officeDocument/2006/relationships/image" Target="../media/image3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3" Type="http://schemas.openxmlformats.org/officeDocument/2006/relationships/image" Target="../media/image53.emf"/><Relationship Id="rId7" Type="http://schemas.openxmlformats.org/officeDocument/2006/relationships/image" Target="../media/image49.emf"/><Relationship Id="rId12" Type="http://schemas.openxmlformats.org/officeDocument/2006/relationships/image" Target="../media/image59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50.emf"/><Relationship Id="rId11" Type="http://schemas.openxmlformats.org/officeDocument/2006/relationships/image" Target="../media/image58.emf"/><Relationship Id="rId5" Type="http://schemas.openxmlformats.org/officeDocument/2006/relationships/image" Target="../media/image51.emf"/><Relationship Id="rId10" Type="http://schemas.openxmlformats.org/officeDocument/2006/relationships/image" Target="../media/image57.emf"/><Relationship Id="rId4" Type="http://schemas.openxmlformats.org/officeDocument/2006/relationships/image" Target="../media/image52.emf"/><Relationship Id="rId9" Type="http://schemas.openxmlformats.org/officeDocument/2006/relationships/image" Target="../media/image56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3.emf"/><Relationship Id="rId7" Type="http://schemas.openxmlformats.org/officeDocument/2006/relationships/image" Target="../media/image66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Relationship Id="rId6" Type="http://schemas.openxmlformats.org/officeDocument/2006/relationships/image" Target="../media/image60.emf"/><Relationship Id="rId5" Type="http://schemas.openxmlformats.org/officeDocument/2006/relationships/image" Target="../media/image61.emf"/><Relationship Id="rId10" Type="http://schemas.openxmlformats.org/officeDocument/2006/relationships/image" Target="../media/image69.emf"/><Relationship Id="rId4" Type="http://schemas.openxmlformats.org/officeDocument/2006/relationships/image" Target="../media/image62.emf"/><Relationship Id="rId9" Type="http://schemas.openxmlformats.org/officeDocument/2006/relationships/image" Target="../media/image6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3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3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3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3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3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3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3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3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3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3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3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3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3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5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5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5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5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5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5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5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6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6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6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6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6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6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1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1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1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00000000-0008-0000-0100-000006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9" name="TextBox7" hidden="1">
              <a:extLst>
                <a:ext uri="{63B3BB69-23CF-44E3-9099-C40C66FF867C}">
                  <a14:compatExt spid="_x0000_s69639"/>
                </a:ext>
                <a:ext uri="{FF2B5EF4-FFF2-40B4-BE49-F238E27FC236}">
                  <a16:creationId xmlns:a16="http://schemas.microsoft.com/office/drawing/2014/main" id="{00000000-0008-0000-0100-000007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0" name="TextBox8" hidden="1">
              <a:extLst>
                <a:ext uri="{63B3BB69-23CF-44E3-9099-C40C66FF867C}">
                  <a14:compatExt spid="_x0000_s69640"/>
                </a:ext>
                <a:ext uri="{FF2B5EF4-FFF2-40B4-BE49-F238E27FC236}">
                  <a16:creationId xmlns:a16="http://schemas.microsoft.com/office/drawing/2014/main" id="{00000000-0008-0000-0100-000008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1" name="TextBox9" hidden="1">
              <a:extLst>
                <a:ext uri="{63B3BB69-23CF-44E3-9099-C40C66FF867C}">
                  <a14:compatExt spid="_x0000_s69641"/>
                </a:ext>
                <a:ext uri="{FF2B5EF4-FFF2-40B4-BE49-F238E27FC236}">
                  <a16:creationId xmlns:a16="http://schemas.microsoft.com/office/drawing/2014/main" id="{00000000-0008-0000-0100-000009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2" name="TextBox10" hidden="1">
              <a:extLst>
                <a:ext uri="{63B3BB69-23CF-44E3-9099-C40C66FF867C}">
                  <a14:compatExt spid="_x0000_s69642"/>
                </a:ext>
                <a:ext uri="{FF2B5EF4-FFF2-40B4-BE49-F238E27FC236}">
                  <a16:creationId xmlns:a16="http://schemas.microsoft.com/office/drawing/2014/main" id="{00000000-0008-0000-0100-00000A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0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0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3" name="TextBox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0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4" name="TextBox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0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5" name="TextBox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0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6" name="TextBox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0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5" name="TextBox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6" name="TextBox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9" name="TextBox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0" name="TextBox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1" name="TextBox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0B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2" name="TextBox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0B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3" name="TextBox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0B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4" name="TextBox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0B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1" name="TextBox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2" name="TextBox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3" name="TextBox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00000000-0008-0000-0C00-00000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4" name="TextBox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00000000-0008-0000-0C00-00000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5" name="TextBox9" hidden="1">
              <a:extLst>
                <a:ext uri="{63B3BB69-23CF-44E3-9099-C40C66FF867C}">
                  <a14:compatExt spid="_x0000_s60425"/>
                </a:ext>
                <a:ext uri="{FF2B5EF4-FFF2-40B4-BE49-F238E27FC236}">
                  <a16:creationId xmlns:a16="http://schemas.microsoft.com/office/drawing/2014/main" id="{00000000-0008-0000-0C00-00000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6" name="TextBox10" hidden="1">
              <a:extLst>
                <a:ext uri="{63B3BB69-23CF-44E3-9099-C40C66FF867C}">
                  <a14:compatExt spid="_x0000_s60426"/>
                </a:ext>
                <a:ext uri="{FF2B5EF4-FFF2-40B4-BE49-F238E27FC236}">
                  <a16:creationId xmlns:a16="http://schemas.microsoft.com/office/drawing/2014/main" id="{00000000-0008-0000-0C00-00000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0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0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0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0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0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0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0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0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image" Target="../media/image22.emf"/><Relationship Id="rId18" Type="http://schemas.openxmlformats.org/officeDocument/2006/relationships/control" Target="../activeX/activeX2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9.emf"/><Relationship Id="rId12" Type="http://schemas.openxmlformats.org/officeDocument/2006/relationships/control" Target="../activeX/activeX21.xml"/><Relationship Id="rId17" Type="http://schemas.openxmlformats.org/officeDocument/2006/relationships/image" Target="../media/image24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8.xml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5" Type="http://schemas.openxmlformats.org/officeDocument/2006/relationships/image" Target="../media/image23.emf"/><Relationship Id="rId10" Type="http://schemas.openxmlformats.org/officeDocument/2006/relationships/control" Target="../activeX/activeX20.xml"/><Relationship Id="rId19" Type="http://schemas.openxmlformats.org/officeDocument/2006/relationships/image" Target="../media/image25.emf"/><Relationship Id="rId4" Type="http://schemas.openxmlformats.org/officeDocument/2006/relationships/control" Target="../activeX/activeX17.xml"/><Relationship Id="rId9" Type="http://schemas.openxmlformats.org/officeDocument/2006/relationships/image" Target="../media/image20.emf"/><Relationship Id="rId14" Type="http://schemas.openxmlformats.org/officeDocument/2006/relationships/control" Target="../activeX/activeX2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image" Target="../media/image30.emf"/><Relationship Id="rId18" Type="http://schemas.openxmlformats.org/officeDocument/2006/relationships/control" Target="../activeX/activeX32.xml"/><Relationship Id="rId26" Type="http://schemas.openxmlformats.org/officeDocument/2006/relationships/control" Target="../activeX/activeX36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34.emf"/><Relationship Id="rId7" Type="http://schemas.openxmlformats.org/officeDocument/2006/relationships/image" Target="../media/image27.emf"/><Relationship Id="rId12" Type="http://schemas.openxmlformats.org/officeDocument/2006/relationships/control" Target="../activeX/activeX29.xml"/><Relationship Id="rId17" Type="http://schemas.openxmlformats.org/officeDocument/2006/relationships/image" Target="../media/image32.emf"/><Relationship Id="rId25" Type="http://schemas.openxmlformats.org/officeDocument/2006/relationships/image" Target="../media/image36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1.xml"/><Relationship Id="rId20" Type="http://schemas.openxmlformats.org/officeDocument/2006/relationships/control" Target="../activeX/activeX33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6.xml"/><Relationship Id="rId11" Type="http://schemas.openxmlformats.org/officeDocument/2006/relationships/image" Target="../media/image29.emf"/><Relationship Id="rId24" Type="http://schemas.openxmlformats.org/officeDocument/2006/relationships/control" Target="../activeX/activeX35.xml"/><Relationship Id="rId5" Type="http://schemas.openxmlformats.org/officeDocument/2006/relationships/image" Target="../media/image26.emf"/><Relationship Id="rId15" Type="http://schemas.openxmlformats.org/officeDocument/2006/relationships/image" Target="../media/image31.emf"/><Relationship Id="rId23" Type="http://schemas.openxmlformats.org/officeDocument/2006/relationships/image" Target="../media/image35.emf"/><Relationship Id="rId10" Type="http://schemas.openxmlformats.org/officeDocument/2006/relationships/control" Target="../activeX/activeX28.xml"/><Relationship Id="rId19" Type="http://schemas.openxmlformats.org/officeDocument/2006/relationships/image" Target="../media/image33.emf"/><Relationship Id="rId4" Type="http://schemas.openxmlformats.org/officeDocument/2006/relationships/control" Target="../activeX/activeX25.xml"/><Relationship Id="rId9" Type="http://schemas.openxmlformats.org/officeDocument/2006/relationships/image" Target="../media/image28.emf"/><Relationship Id="rId14" Type="http://schemas.openxmlformats.org/officeDocument/2006/relationships/control" Target="../activeX/activeX30.xml"/><Relationship Id="rId22" Type="http://schemas.openxmlformats.org/officeDocument/2006/relationships/control" Target="../activeX/activeX34.xml"/><Relationship Id="rId27" Type="http://schemas.openxmlformats.org/officeDocument/2006/relationships/image" Target="../media/image37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image" Target="../media/image42.emf"/><Relationship Id="rId18" Type="http://schemas.openxmlformats.org/officeDocument/2006/relationships/control" Target="../activeX/activeX44.xml"/><Relationship Id="rId3" Type="http://schemas.openxmlformats.org/officeDocument/2006/relationships/vmlDrawing" Target="../drawings/vmlDrawing6.vml"/><Relationship Id="rId21" Type="http://schemas.openxmlformats.org/officeDocument/2006/relationships/image" Target="../media/image46.emf"/><Relationship Id="rId7" Type="http://schemas.openxmlformats.org/officeDocument/2006/relationships/image" Target="../media/image39.emf"/><Relationship Id="rId12" Type="http://schemas.openxmlformats.org/officeDocument/2006/relationships/control" Target="../activeX/activeX41.xml"/><Relationship Id="rId17" Type="http://schemas.openxmlformats.org/officeDocument/2006/relationships/image" Target="../media/image44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3.xml"/><Relationship Id="rId20" Type="http://schemas.openxmlformats.org/officeDocument/2006/relationships/control" Target="../activeX/activeX45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8.xml"/><Relationship Id="rId11" Type="http://schemas.openxmlformats.org/officeDocument/2006/relationships/image" Target="../media/image41.emf"/><Relationship Id="rId5" Type="http://schemas.openxmlformats.org/officeDocument/2006/relationships/image" Target="../media/image38.emf"/><Relationship Id="rId15" Type="http://schemas.openxmlformats.org/officeDocument/2006/relationships/image" Target="../media/image43.emf"/><Relationship Id="rId23" Type="http://schemas.openxmlformats.org/officeDocument/2006/relationships/image" Target="../media/image47.emf"/><Relationship Id="rId10" Type="http://schemas.openxmlformats.org/officeDocument/2006/relationships/control" Target="../activeX/activeX40.xml"/><Relationship Id="rId19" Type="http://schemas.openxmlformats.org/officeDocument/2006/relationships/image" Target="../media/image45.emf"/><Relationship Id="rId4" Type="http://schemas.openxmlformats.org/officeDocument/2006/relationships/control" Target="../activeX/activeX37.xml"/><Relationship Id="rId9" Type="http://schemas.openxmlformats.org/officeDocument/2006/relationships/image" Target="../media/image40.emf"/><Relationship Id="rId14" Type="http://schemas.openxmlformats.org/officeDocument/2006/relationships/control" Target="../activeX/activeX42.xml"/><Relationship Id="rId22" Type="http://schemas.openxmlformats.org/officeDocument/2006/relationships/control" Target="../activeX/activeX4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13" Type="http://schemas.openxmlformats.org/officeDocument/2006/relationships/control" Target="../activeX/activeX52.xml"/><Relationship Id="rId18" Type="http://schemas.openxmlformats.org/officeDocument/2006/relationships/image" Target="../media/image55.emf"/><Relationship Id="rId26" Type="http://schemas.openxmlformats.org/officeDocument/2006/relationships/image" Target="../media/image59.emf"/><Relationship Id="rId3" Type="http://schemas.openxmlformats.org/officeDocument/2006/relationships/control" Target="../activeX/activeX47.xml"/><Relationship Id="rId21" Type="http://schemas.openxmlformats.org/officeDocument/2006/relationships/control" Target="../activeX/activeX56.xml"/><Relationship Id="rId7" Type="http://schemas.openxmlformats.org/officeDocument/2006/relationships/control" Target="../activeX/activeX49.xml"/><Relationship Id="rId12" Type="http://schemas.openxmlformats.org/officeDocument/2006/relationships/image" Target="../media/image52.emf"/><Relationship Id="rId17" Type="http://schemas.openxmlformats.org/officeDocument/2006/relationships/control" Target="../activeX/activeX54.xml"/><Relationship Id="rId25" Type="http://schemas.openxmlformats.org/officeDocument/2006/relationships/control" Target="../activeX/activeX58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54.emf"/><Relationship Id="rId20" Type="http://schemas.openxmlformats.org/officeDocument/2006/relationships/image" Target="../media/image56.emf"/><Relationship Id="rId1" Type="http://schemas.openxmlformats.org/officeDocument/2006/relationships/drawing" Target="../drawings/drawing7.xml"/><Relationship Id="rId6" Type="http://schemas.openxmlformats.org/officeDocument/2006/relationships/image" Target="../media/image49.emf"/><Relationship Id="rId11" Type="http://schemas.openxmlformats.org/officeDocument/2006/relationships/control" Target="../activeX/activeX51.xml"/><Relationship Id="rId24" Type="http://schemas.openxmlformats.org/officeDocument/2006/relationships/image" Target="../media/image58.emf"/><Relationship Id="rId5" Type="http://schemas.openxmlformats.org/officeDocument/2006/relationships/control" Target="../activeX/activeX48.xml"/><Relationship Id="rId15" Type="http://schemas.openxmlformats.org/officeDocument/2006/relationships/control" Target="../activeX/activeX53.xml"/><Relationship Id="rId23" Type="http://schemas.openxmlformats.org/officeDocument/2006/relationships/control" Target="../activeX/activeX57.xml"/><Relationship Id="rId10" Type="http://schemas.openxmlformats.org/officeDocument/2006/relationships/image" Target="../media/image51.emf"/><Relationship Id="rId19" Type="http://schemas.openxmlformats.org/officeDocument/2006/relationships/control" Target="../activeX/activeX55.xml"/><Relationship Id="rId4" Type="http://schemas.openxmlformats.org/officeDocument/2006/relationships/image" Target="../media/image48.emf"/><Relationship Id="rId9" Type="http://schemas.openxmlformats.org/officeDocument/2006/relationships/control" Target="../activeX/activeX50.xml"/><Relationship Id="rId14" Type="http://schemas.openxmlformats.org/officeDocument/2006/relationships/image" Target="../media/image53.emf"/><Relationship Id="rId22" Type="http://schemas.openxmlformats.org/officeDocument/2006/relationships/image" Target="../media/image5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13" Type="http://schemas.openxmlformats.org/officeDocument/2006/relationships/control" Target="../activeX/activeX64.xml"/><Relationship Id="rId18" Type="http://schemas.openxmlformats.org/officeDocument/2006/relationships/image" Target="../media/image67.emf"/><Relationship Id="rId3" Type="http://schemas.openxmlformats.org/officeDocument/2006/relationships/control" Target="../activeX/activeX59.xml"/><Relationship Id="rId21" Type="http://schemas.openxmlformats.org/officeDocument/2006/relationships/control" Target="../activeX/activeX68.xml"/><Relationship Id="rId7" Type="http://schemas.openxmlformats.org/officeDocument/2006/relationships/control" Target="../activeX/activeX61.xml"/><Relationship Id="rId12" Type="http://schemas.openxmlformats.org/officeDocument/2006/relationships/image" Target="../media/image64.emf"/><Relationship Id="rId17" Type="http://schemas.openxmlformats.org/officeDocument/2006/relationships/control" Target="../activeX/activeX66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66.emf"/><Relationship Id="rId20" Type="http://schemas.openxmlformats.org/officeDocument/2006/relationships/image" Target="../media/image68.emf"/><Relationship Id="rId1" Type="http://schemas.openxmlformats.org/officeDocument/2006/relationships/drawing" Target="../drawings/drawing8.xml"/><Relationship Id="rId6" Type="http://schemas.openxmlformats.org/officeDocument/2006/relationships/image" Target="../media/image61.emf"/><Relationship Id="rId11" Type="http://schemas.openxmlformats.org/officeDocument/2006/relationships/control" Target="../activeX/activeX63.xml"/><Relationship Id="rId5" Type="http://schemas.openxmlformats.org/officeDocument/2006/relationships/control" Target="../activeX/activeX60.xml"/><Relationship Id="rId15" Type="http://schemas.openxmlformats.org/officeDocument/2006/relationships/control" Target="../activeX/activeX65.xml"/><Relationship Id="rId10" Type="http://schemas.openxmlformats.org/officeDocument/2006/relationships/image" Target="../media/image63.emf"/><Relationship Id="rId19" Type="http://schemas.openxmlformats.org/officeDocument/2006/relationships/control" Target="../activeX/activeX67.xml"/><Relationship Id="rId4" Type="http://schemas.openxmlformats.org/officeDocument/2006/relationships/image" Target="../media/image60.emf"/><Relationship Id="rId9" Type="http://schemas.openxmlformats.org/officeDocument/2006/relationships/control" Target="../activeX/activeX62.xml"/><Relationship Id="rId14" Type="http://schemas.openxmlformats.org/officeDocument/2006/relationships/image" Target="../media/image65.emf"/><Relationship Id="rId22" Type="http://schemas.openxmlformats.org/officeDocument/2006/relationships/image" Target="../media/image69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1.xml"/><Relationship Id="rId13" Type="http://schemas.openxmlformats.org/officeDocument/2006/relationships/image" Target="../media/image74.emf"/><Relationship Id="rId18" Type="http://schemas.openxmlformats.org/officeDocument/2006/relationships/control" Target="../activeX/activeX76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71.emf"/><Relationship Id="rId12" Type="http://schemas.openxmlformats.org/officeDocument/2006/relationships/control" Target="../activeX/activeX73.xml"/><Relationship Id="rId17" Type="http://schemas.openxmlformats.org/officeDocument/2006/relationships/image" Target="../media/image76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70.xml"/><Relationship Id="rId11" Type="http://schemas.openxmlformats.org/officeDocument/2006/relationships/image" Target="../media/image73.emf"/><Relationship Id="rId5" Type="http://schemas.openxmlformats.org/officeDocument/2006/relationships/image" Target="../media/image70.emf"/><Relationship Id="rId15" Type="http://schemas.openxmlformats.org/officeDocument/2006/relationships/image" Target="../media/image75.emf"/><Relationship Id="rId10" Type="http://schemas.openxmlformats.org/officeDocument/2006/relationships/control" Target="../activeX/activeX72.xml"/><Relationship Id="rId19" Type="http://schemas.openxmlformats.org/officeDocument/2006/relationships/image" Target="../media/image77.emf"/><Relationship Id="rId4" Type="http://schemas.openxmlformats.org/officeDocument/2006/relationships/control" Target="../activeX/activeX69.xml"/><Relationship Id="rId9" Type="http://schemas.openxmlformats.org/officeDocument/2006/relationships/image" Target="../media/image72.emf"/><Relationship Id="rId14" Type="http://schemas.openxmlformats.org/officeDocument/2006/relationships/control" Target="../activeX/activeX7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2.xml"/><Relationship Id="rId18" Type="http://schemas.openxmlformats.org/officeDocument/2006/relationships/image" Target="../media/image85.emf"/><Relationship Id="rId26" Type="http://schemas.openxmlformats.org/officeDocument/2006/relationships/image" Target="../media/image89.emf"/><Relationship Id="rId21" Type="http://schemas.openxmlformats.org/officeDocument/2006/relationships/control" Target="../activeX/activeX86.xml"/><Relationship Id="rId34" Type="http://schemas.openxmlformats.org/officeDocument/2006/relationships/image" Target="../media/image93.emf"/><Relationship Id="rId7" Type="http://schemas.openxmlformats.org/officeDocument/2006/relationships/control" Target="../activeX/activeX79.xml"/><Relationship Id="rId12" Type="http://schemas.openxmlformats.org/officeDocument/2006/relationships/image" Target="../media/image82.emf"/><Relationship Id="rId17" Type="http://schemas.openxmlformats.org/officeDocument/2006/relationships/control" Target="../activeX/activeX84.xml"/><Relationship Id="rId25" Type="http://schemas.openxmlformats.org/officeDocument/2006/relationships/control" Target="../activeX/activeX88.xml"/><Relationship Id="rId33" Type="http://schemas.openxmlformats.org/officeDocument/2006/relationships/control" Target="../activeX/activeX92.xml"/><Relationship Id="rId38" Type="http://schemas.openxmlformats.org/officeDocument/2006/relationships/image" Target="../media/image95.emf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84.emf"/><Relationship Id="rId20" Type="http://schemas.openxmlformats.org/officeDocument/2006/relationships/image" Target="../media/image86.emf"/><Relationship Id="rId29" Type="http://schemas.openxmlformats.org/officeDocument/2006/relationships/control" Target="../activeX/activeX90.xml"/><Relationship Id="rId1" Type="http://schemas.openxmlformats.org/officeDocument/2006/relationships/drawing" Target="../drawings/drawing10.xml"/><Relationship Id="rId6" Type="http://schemas.openxmlformats.org/officeDocument/2006/relationships/image" Target="../media/image79.emf"/><Relationship Id="rId11" Type="http://schemas.openxmlformats.org/officeDocument/2006/relationships/control" Target="../activeX/activeX81.xml"/><Relationship Id="rId24" Type="http://schemas.openxmlformats.org/officeDocument/2006/relationships/image" Target="../media/image88.emf"/><Relationship Id="rId32" Type="http://schemas.openxmlformats.org/officeDocument/2006/relationships/image" Target="../media/image92.emf"/><Relationship Id="rId37" Type="http://schemas.openxmlformats.org/officeDocument/2006/relationships/control" Target="../activeX/activeX94.xml"/><Relationship Id="rId5" Type="http://schemas.openxmlformats.org/officeDocument/2006/relationships/control" Target="../activeX/activeX78.xml"/><Relationship Id="rId15" Type="http://schemas.openxmlformats.org/officeDocument/2006/relationships/control" Target="../activeX/activeX83.xml"/><Relationship Id="rId23" Type="http://schemas.openxmlformats.org/officeDocument/2006/relationships/control" Target="../activeX/activeX87.xml"/><Relationship Id="rId28" Type="http://schemas.openxmlformats.org/officeDocument/2006/relationships/image" Target="../media/image90.emf"/><Relationship Id="rId36" Type="http://schemas.openxmlformats.org/officeDocument/2006/relationships/image" Target="../media/image94.emf"/><Relationship Id="rId10" Type="http://schemas.openxmlformats.org/officeDocument/2006/relationships/image" Target="../media/image81.emf"/><Relationship Id="rId19" Type="http://schemas.openxmlformats.org/officeDocument/2006/relationships/control" Target="../activeX/activeX85.xml"/><Relationship Id="rId31" Type="http://schemas.openxmlformats.org/officeDocument/2006/relationships/control" Target="../activeX/activeX91.xml"/><Relationship Id="rId4" Type="http://schemas.openxmlformats.org/officeDocument/2006/relationships/image" Target="../media/image78.emf"/><Relationship Id="rId9" Type="http://schemas.openxmlformats.org/officeDocument/2006/relationships/control" Target="../activeX/activeX80.xml"/><Relationship Id="rId14" Type="http://schemas.openxmlformats.org/officeDocument/2006/relationships/image" Target="../media/image83.emf"/><Relationship Id="rId22" Type="http://schemas.openxmlformats.org/officeDocument/2006/relationships/image" Target="../media/image87.emf"/><Relationship Id="rId27" Type="http://schemas.openxmlformats.org/officeDocument/2006/relationships/control" Target="../activeX/activeX89.xml"/><Relationship Id="rId30" Type="http://schemas.openxmlformats.org/officeDocument/2006/relationships/image" Target="../media/image91.emf"/><Relationship Id="rId35" Type="http://schemas.openxmlformats.org/officeDocument/2006/relationships/control" Target="../activeX/activeX93.xml"/><Relationship Id="rId8" Type="http://schemas.openxmlformats.org/officeDocument/2006/relationships/image" Target="../media/image80.emf"/><Relationship Id="rId3" Type="http://schemas.openxmlformats.org/officeDocument/2006/relationships/control" Target="../activeX/activeX77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13" Type="http://schemas.openxmlformats.org/officeDocument/2006/relationships/control" Target="../activeX/activeX100.xml"/><Relationship Id="rId18" Type="http://schemas.openxmlformats.org/officeDocument/2006/relationships/image" Target="../media/image103.emf"/><Relationship Id="rId3" Type="http://schemas.openxmlformats.org/officeDocument/2006/relationships/control" Target="../activeX/activeX95.xml"/><Relationship Id="rId7" Type="http://schemas.openxmlformats.org/officeDocument/2006/relationships/control" Target="../activeX/activeX97.xml"/><Relationship Id="rId12" Type="http://schemas.openxmlformats.org/officeDocument/2006/relationships/image" Target="../media/image100.emf"/><Relationship Id="rId17" Type="http://schemas.openxmlformats.org/officeDocument/2006/relationships/control" Target="../activeX/activeX102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102.emf"/><Relationship Id="rId1" Type="http://schemas.openxmlformats.org/officeDocument/2006/relationships/drawing" Target="../drawings/drawing11.xml"/><Relationship Id="rId6" Type="http://schemas.openxmlformats.org/officeDocument/2006/relationships/image" Target="../media/image97.emf"/><Relationship Id="rId11" Type="http://schemas.openxmlformats.org/officeDocument/2006/relationships/control" Target="../activeX/activeX99.xml"/><Relationship Id="rId5" Type="http://schemas.openxmlformats.org/officeDocument/2006/relationships/control" Target="../activeX/activeX96.xml"/><Relationship Id="rId15" Type="http://schemas.openxmlformats.org/officeDocument/2006/relationships/control" Target="../activeX/activeX101.xml"/><Relationship Id="rId10" Type="http://schemas.openxmlformats.org/officeDocument/2006/relationships/image" Target="../media/image99.emf"/><Relationship Id="rId4" Type="http://schemas.openxmlformats.org/officeDocument/2006/relationships/image" Target="../media/image96.emf"/><Relationship Id="rId9" Type="http://schemas.openxmlformats.org/officeDocument/2006/relationships/control" Target="../activeX/activeX98.xml"/><Relationship Id="rId14" Type="http://schemas.openxmlformats.org/officeDocument/2006/relationships/image" Target="../media/image101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emf"/><Relationship Id="rId13" Type="http://schemas.openxmlformats.org/officeDocument/2006/relationships/control" Target="../activeX/activeX108.xml"/><Relationship Id="rId18" Type="http://schemas.openxmlformats.org/officeDocument/2006/relationships/image" Target="../media/image111.emf"/><Relationship Id="rId26" Type="http://schemas.openxmlformats.org/officeDocument/2006/relationships/image" Target="../media/image115.emf"/><Relationship Id="rId3" Type="http://schemas.openxmlformats.org/officeDocument/2006/relationships/control" Target="../activeX/activeX103.xml"/><Relationship Id="rId21" Type="http://schemas.openxmlformats.org/officeDocument/2006/relationships/control" Target="../activeX/activeX112.xml"/><Relationship Id="rId7" Type="http://schemas.openxmlformats.org/officeDocument/2006/relationships/control" Target="../activeX/activeX105.xml"/><Relationship Id="rId12" Type="http://schemas.openxmlformats.org/officeDocument/2006/relationships/image" Target="../media/image108.emf"/><Relationship Id="rId17" Type="http://schemas.openxmlformats.org/officeDocument/2006/relationships/control" Target="../activeX/activeX110.xml"/><Relationship Id="rId25" Type="http://schemas.openxmlformats.org/officeDocument/2006/relationships/control" Target="../activeX/activeX114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110.emf"/><Relationship Id="rId20" Type="http://schemas.openxmlformats.org/officeDocument/2006/relationships/image" Target="../media/image112.emf"/><Relationship Id="rId1" Type="http://schemas.openxmlformats.org/officeDocument/2006/relationships/drawing" Target="../drawings/drawing12.xml"/><Relationship Id="rId6" Type="http://schemas.openxmlformats.org/officeDocument/2006/relationships/image" Target="../media/image105.emf"/><Relationship Id="rId11" Type="http://schemas.openxmlformats.org/officeDocument/2006/relationships/control" Target="../activeX/activeX107.xml"/><Relationship Id="rId24" Type="http://schemas.openxmlformats.org/officeDocument/2006/relationships/image" Target="../media/image114.emf"/><Relationship Id="rId5" Type="http://schemas.openxmlformats.org/officeDocument/2006/relationships/control" Target="../activeX/activeX104.xml"/><Relationship Id="rId15" Type="http://schemas.openxmlformats.org/officeDocument/2006/relationships/control" Target="../activeX/activeX109.xml"/><Relationship Id="rId23" Type="http://schemas.openxmlformats.org/officeDocument/2006/relationships/control" Target="../activeX/activeX113.xml"/><Relationship Id="rId10" Type="http://schemas.openxmlformats.org/officeDocument/2006/relationships/image" Target="../media/image107.emf"/><Relationship Id="rId19" Type="http://schemas.openxmlformats.org/officeDocument/2006/relationships/control" Target="../activeX/activeX111.xml"/><Relationship Id="rId4" Type="http://schemas.openxmlformats.org/officeDocument/2006/relationships/image" Target="../media/image104.emf"/><Relationship Id="rId9" Type="http://schemas.openxmlformats.org/officeDocument/2006/relationships/control" Target="../activeX/activeX106.xml"/><Relationship Id="rId14" Type="http://schemas.openxmlformats.org/officeDocument/2006/relationships/image" Target="../media/image109.emf"/><Relationship Id="rId22" Type="http://schemas.openxmlformats.org/officeDocument/2006/relationships/image" Target="../media/image113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emf"/><Relationship Id="rId13" Type="http://schemas.openxmlformats.org/officeDocument/2006/relationships/control" Target="../activeX/activeX120.xml"/><Relationship Id="rId18" Type="http://schemas.openxmlformats.org/officeDocument/2006/relationships/image" Target="../media/image123.emf"/><Relationship Id="rId3" Type="http://schemas.openxmlformats.org/officeDocument/2006/relationships/control" Target="../activeX/activeX115.xml"/><Relationship Id="rId21" Type="http://schemas.openxmlformats.org/officeDocument/2006/relationships/control" Target="../activeX/activeX124.xml"/><Relationship Id="rId7" Type="http://schemas.openxmlformats.org/officeDocument/2006/relationships/control" Target="../activeX/activeX117.xml"/><Relationship Id="rId12" Type="http://schemas.openxmlformats.org/officeDocument/2006/relationships/image" Target="../media/image120.emf"/><Relationship Id="rId17" Type="http://schemas.openxmlformats.org/officeDocument/2006/relationships/control" Target="../activeX/activeX122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122.emf"/><Relationship Id="rId20" Type="http://schemas.openxmlformats.org/officeDocument/2006/relationships/image" Target="../media/image124.emf"/><Relationship Id="rId1" Type="http://schemas.openxmlformats.org/officeDocument/2006/relationships/drawing" Target="../drawings/drawing13.xml"/><Relationship Id="rId6" Type="http://schemas.openxmlformats.org/officeDocument/2006/relationships/image" Target="../media/image117.emf"/><Relationship Id="rId11" Type="http://schemas.openxmlformats.org/officeDocument/2006/relationships/control" Target="../activeX/activeX119.xml"/><Relationship Id="rId5" Type="http://schemas.openxmlformats.org/officeDocument/2006/relationships/control" Target="../activeX/activeX116.xml"/><Relationship Id="rId15" Type="http://schemas.openxmlformats.org/officeDocument/2006/relationships/control" Target="../activeX/activeX121.xml"/><Relationship Id="rId10" Type="http://schemas.openxmlformats.org/officeDocument/2006/relationships/image" Target="../media/image119.emf"/><Relationship Id="rId19" Type="http://schemas.openxmlformats.org/officeDocument/2006/relationships/control" Target="../activeX/activeX123.xml"/><Relationship Id="rId4" Type="http://schemas.openxmlformats.org/officeDocument/2006/relationships/image" Target="../media/image116.emf"/><Relationship Id="rId9" Type="http://schemas.openxmlformats.org/officeDocument/2006/relationships/control" Target="../activeX/activeX118.xml"/><Relationship Id="rId14" Type="http://schemas.openxmlformats.org/officeDocument/2006/relationships/image" Target="../media/image121.emf"/><Relationship Id="rId22" Type="http://schemas.openxmlformats.org/officeDocument/2006/relationships/image" Target="../media/image125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A1:F33"/>
  <sheetViews>
    <sheetView tabSelected="1" workbookViewId="0"/>
  </sheetViews>
  <sheetFormatPr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" spans="1:6" x14ac:dyDescent="0.25">
      <c r="B1"/>
    </row>
    <row r="12" spans="1:6" ht="15.75" x14ac:dyDescent="0.25">
      <c r="B12" s="98">
        <v>44712</v>
      </c>
    </row>
    <row r="13" spans="1:6" ht="26.25" x14ac:dyDescent="0.4">
      <c r="B13" s="98"/>
      <c r="D13" s="99" t="s">
        <v>223</v>
      </c>
      <c r="E13" s="99"/>
      <c r="F13" s="99"/>
    </row>
    <row r="14" spans="1:6" x14ac:dyDescent="0.25">
      <c r="A14" s="100"/>
      <c r="B14" s="35" t="s">
        <v>7839</v>
      </c>
    </row>
    <row r="15" spans="1:6" hidden="1" x14ac:dyDescent="0.25">
      <c r="A15" s="100"/>
      <c r="B15" s="35" t="s">
        <v>7716</v>
      </c>
    </row>
    <row r="16" spans="1:6" x14ac:dyDescent="0.25">
      <c r="A16" s="100"/>
      <c r="B16" s="101" t="s">
        <v>7840</v>
      </c>
    </row>
    <row r="17" spans="1:3" x14ac:dyDescent="0.25">
      <c r="A17" s="100"/>
      <c r="B17" s="101" t="s">
        <v>7810</v>
      </c>
      <c r="C17" s="101"/>
    </row>
    <row r="18" spans="1:3" x14ac:dyDescent="0.25">
      <c r="A18" s="100"/>
      <c r="B18" s="101" t="s">
        <v>7841</v>
      </c>
    </row>
    <row r="19" spans="1:3" x14ac:dyDescent="0.25">
      <c r="A19" s="100"/>
      <c r="B19" s="101" t="s">
        <v>7800</v>
      </c>
    </row>
    <row r="20" spans="1:3" hidden="1" x14ac:dyDescent="0.25">
      <c r="A20" s="100"/>
      <c r="B20" s="101" t="s">
        <v>7698</v>
      </c>
    </row>
    <row r="21" spans="1:3" hidden="1" x14ac:dyDescent="0.25">
      <c r="A21" s="100"/>
      <c r="B21" s="101" t="s">
        <v>7699</v>
      </c>
    </row>
    <row r="22" spans="1:3" hidden="1" x14ac:dyDescent="0.25">
      <c r="A22" s="100"/>
      <c r="B22" s="101" t="s">
        <v>7700</v>
      </c>
    </row>
    <row r="23" spans="1:3" hidden="1" x14ac:dyDescent="0.25">
      <c r="A23" s="100"/>
      <c r="B23" s="101" t="s">
        <v>7701</v>
      </c>
    </row>
    <row r="24" spans="1:3" hidden="1" x14ac:dyDescent="0.25">
      <c r="A24" s="100"/>
      <c r="B24" s="101" t="s">
        <v>7702</v>
      </c>
    </row>
    <row r="25" spans="1:3" hidden="1" x14ac:dyDescent="0.25">
      <c r="A25" s="100"/>
      <c r="B25" s="101" t="s">
        <v>7703</v>
      </c>
    </row>
    <row r="26" spans="1:3" ht="15" hidden="1" customHeight="1" x14ac:dyDescent="0.25">
      <c r="A26" s="100"/>
      <c r="B26" s="101" t="s">
        <v>7704</v>
      </c>
    </row>
    <row r="27" spans="1:3" hidden="1" x14ac:dyDescent="0.25">
      <c r="A27" s="100"/>
      <c r="B27" s="102" t="s">
        <v>7705</v>
      </c>
    </row>
    <row r="28" spans="1:3" x14ac:dyDescent="0.25">
      <c r="A28" s="100"/>
      <c r="B28" s="102" t="s">
        <v>7718</v>
      </c>
    </row>
    <row r="29" spans="1:3" x14ac:dyDescent="0.25">
      <c r="A29" s="100"/>
      <c r="B29" s="102" t="s">
        <v>7719</v>
      </c>
    </row>
    <row r="30" spans="1:3" x14ac:dyDescent="0.25">
      <c r="A30" s="100"/>
      <c r="B30" s="102" t="s">
        <v>7720</v>
      </c>
    </row>
    <row r="31" spans="1:3" ht="15.75" x14ac:dyDescent="0.25">
      <c r="B31" s="103" t="s">
        <v>7706</v>
      </c>
    </row>
    <row r="33" spans="2:2" x14ac:dyDescent="0.25">
      <c r="B33" s="75" t="s">
        <v>7828</v>
      </c>
    </row>
  </sheetData>
  <hyperlinks>
    <hyperlink ref="B15" location="'Balance Sheet Summary'!A1" display="Balance Sheet Summary Oct 21" xr:uid="{FB934DAD-DD8B-47F4-B99B-D8D88B2306AC}"/>
    <hyperlink ref="B16" location="'May 22  vs May 21 P&amp;L'!A1" display="US  P&amp;L YOY May 22" xr:uid="{7E3E77D8-D0F9-4915-9619-7F510AE47A75}"/>
    <hyperlink ref="B17" location="'YTD US Profit and Loss'!A1" display="YTD US P&amp;L 22 vs 21" xr:uid="{A818815C-C439-454C-A167-E0965DC164C1}"/>
    <hyperlink ref="B18" location="'Board Summary'!A1" display="May  22 Board Summary" xr:uid="{EE80E622-5DA2-4EB8-8D92-1D0857E8E2E9}"/>
    <hyperlink ref="B19" location="'FY 22 approved Bud'!A1" display="FY 22 Bud APPROVED " xr:uid="{97F6FFC5-F80C-4EA3-926B-D0640AF6ACC8}"/>
    <hyperlink ref="B14" location="'US Balance Sheet Year over Year'!A1" display="Balance sheet Year over Year Ma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>
    <pageSetUpPr fitToPage="1"/>
  </sheetPr>
  <dimension ref="A1:G29"/>
  <sheetViews>
    <sheetView zoomScale="160" zoomScaleNormal="160" workbookViewId="0">
      <pane xSplit="5" ySplit="1" topLeftCell="F11" activePane="bottomRight" state="frozen"/>
      <selection pane="topRight" activeCell="F1" sqref="F1"/>
      <selection pane="bottomLeft" activeCell="A2" sqref="A2"/>
      <selection pane="bottomRight"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42578125" style="75" bestFit="1" customWidth="1"/>
    <col min="7" max="16384" width="9.140625" style="96"/>
  </cols>
  <sheetData>
    <row r="1" spans="1:7" s="152" customFormat="1" ht="15.75" thickBot="1" x14ac:dyDescent="0.3">
      <c r="A1" s="74"/>
      <c r="B1" s="74"/>
      <c r="C1" s="74"/>
      <c r="D1" s="74"/>
      <c r="E1" s="74"/>
      <c r="F1" s="87" t="s">
        <v>7859</v>
      </c>
      <c r="G1" s="39" t="s">
        <v>224</v>
      </c>
    </row>
    <row r="2" spans="1:7" ht="15.75" thickTop="1" x14ac:dyDescent="0.25">
      <c r="A2" s="77"/>
      <c r="B2" s="77"/>
      <c r="C2" s="77" t="s">
        <v>7733</v>
      </c>
      <c r="D2" s="77"/>
      <c r="E2" s="77"/>
      <c r="F2" s="83"/>
    </row>
    <row r="3" spans="1:7" x14ac:dyDescent="0.25">
      <c r="A3" s="77"/>
      <c r="B3" s="77"/>
      <c r="C3" s="77"/>
      <c r="D3" s="77" t="s">
        <v>49</v>
      </c>
      <c r="E3" s="77"/>
      <c r="F3" s="51">
        <v>-67864.710000000006</v>
      </c>
    </row>
    <row r="4" spans="1:7" x14ac:dyDescent="0.25">
      <c r="A4" s="77"/>
      <c r="B4" s="77"/>
      <c r="C4" s="77"/>
      <c r="D4" s="77" t="s">
        <v>7732</v>
      </c>
      <c r="E4" s="77"/>
      <c r="F4" s="51"/>
    </row>
    <row r="5" spans="1:7" x14ac:dyDescent="0.25">
      <c r="A5" s="77"/>
      <c r="B5" s="77"/>
      <c r="C5" s="77"/>
      <c r="D5" s="77" t="s">
        <v>7731</v>
      </c>
      <c r="E5" s="77"/>
      <c r="F5" s="51"/>
    </row>
    <row r="6" spans="1:7" x14ac:dyDescent="0.25">
      <c r="A6" s="77"/>
      <c r="B6" s="77"/>
      <c r="C6" s="77"/>
      <c r="D6" s="77"/>
      <c r="E6" s="77" t="s">
        <v>53</v>
      </c>
      <c r="F6" s="51">
        <v>-37628.699999999997</v>
      </c>
    </row>
    <row r="7" spans="1:7" x14ac:dyDescent="0.25">
      <c r="A7" s="77"/>
      <c r="B7" s="77"/>
      <c r="C7" s="77"/>
      <c r="D7" s="77"/>
      <c r="E7" s="77" t="s">
        <v>62</v>
      </c>
      <c r="F7" s="51">
        <v>23542.9</v>
      </c>
    </row>
    <row r="8" spans="1:7" x14ac:dyDescent="0.25">
      <c r="A8" s="77"/>
      <c r="B8" s="77"/>
      <c r="C8" s="77"/>
      <c r="D8" s="77"/>
      <c r="E8" s="77" t="s">
        <v>7809</v>
      </c>
      <c r="F8" s="51">
        <v>-8300.3700000000008</v>
      </c>
    </row>
    <row r="9" spans="1:7" x14ac:dyDescent="0.25">
      <c r="A9" s="77"/>
      <c r="B9" s="77"/>
      <c r="C9" s="77"/>
      <c r="D9" s="77"/>
      <c r="E9" s="77" t="s">
        <v>7834</v>
      </c>
      <c r="F9" s="51">
        <v>6300</v>
      </c>
    </row>
    <row r="10" spans="1:7" x14ac:dyDescent="0.25">
      <c r="A10" s="77"/>
      <c r="B10" s="77"/>
      <c r="C10" s="77"/>
      <c r="D10" s="77"/>
      <c r="E10" s="77" t="s">
        <v>7729</v>
      </c>
      <c r="F10" s="51">
        <v>98641.44</v>
      </c>
    </row>
    <row r="11" spans="1:7" x14ac:dyDescent="0.25">
      <c r="A11" s="77"/>
      <c r="B11" s="77"/>
      <c r="C11" s="77"/>
      <c r="D11" s="77"/>
      <c r="E11" s="77" t="s">
        <v>7728</v>
      </c>
      <c r="F11" s="51">
        <v>25000</v>
      </c>
    </row>
    <row r="12" spans="1:7" x14ac:dyDescent="0.25">
      <c r="A12" s="77"/>
      <c r="B12" s="77"/>
      <c r="C12" s="77"/>
      <c r="D12" s="77"/>
      <c r="E12" s="77" t="s">
        <v>7858</v>
      </c>
      <c r="F12" s="51">
        <v>-7470</v>
      </c>
    </row>
    <row r="13" spans="1:7" x14ac:dyDescent="0.25">
      <c r="A13" s="77"/>
      <c r="B13" s="77"/>
      <c r="C13" s="77"/>
      <c r="D13" s="77"/>
      <c r="E13" s="77" t="s">
        <v>7857</v>
      </c>
      <c r="F13" s="51">
        <v>82500</v>
      </c>
    </row>
    <row r="14" spans="1:7" x14ac:dyDescent="0.25">
      <c r="A14" s="77"/>
      <c r="B14" s="77"/>
      <c r="C14" s="77"/>
      <c r="D14" s="77"/>
      <c r="E14" s="77" t="s">
        <v>7821</v>
      </c>
      <c r="F14" s="51">
        <v>-14918.5</v>
      </c>
    </row>
    <row r="15" spans="1:7" x14ac:dyDescent="0.25">
      <c r="A15" s="77"/>
      <c r="B15" s="77"/>
      <c r="C15" s="77"/>
      <c r="D15" s="77"/>
      <c r="E15" s="77" t="s">
        <v>7818</v>
      </c>
      <c r="F15" s="51">
        <v>151303.70000000001</v>
      </c>
    </row>
    <row r="16" spans="1:7" x14ac:dyDescent="0.25">
      <c r="A16" s="77"/>
      <c r="B16" s="77"/>
      <c r="C16" s="77"/>
      <c r="D16" s="77"/>
      <c r="E16" s="77" t="s">
        <v>7835</v>
      </c>
      <c r="F16" s="51">
        <v>12492.71</v>
      </c>
    </row>
    <row r="17" spans="1:6" ht="15.75" thickBot="1" x14ac:dyDescent="0.3">
      <c r="A17" s="77"/>
      <c r="B17" s="77"/>
      <c r="C17" s="77"/>
      <c r="D17" s="77"/>
      <c r="E17" s="77" t="s">
        <v>7695</v>
      </c>
      <c r="F17" s="52">
        <v>-170.15</v>
      </c>
    </row>
    <row r="18" spans="1:6" x14ac:dyDescent="0.25">
      <c r="A18" s="77"/>
      <c r="B18" s="77"/>
      <c r="C18" s="77" t="s">
        <v>7727</v>
      </c>
      <c r="D18" s="77"/>
      <c r="E18" s="77"/>
      <c r="F18" s="51">
        <f>ROUND(SUM(F2:F3)+SUM(F6:F17),5)</f>
        <v>263428.32</v>
      </c>
    </row>
    <row r="19" spans="1:6" x14ac:dyDescent="0.25">
      <c r="A19" s="77"/>
      <c r="B19" s="77"/>
      <c r="C19" s="77" t="s">
        <v>7726</v>
      </c>
      <c r="D19" s="77"/>
      <c r="E19" s="77"/>
      <c r="F19" s="51"/>
    </row>
    <row r="20" spans="1:6" s="95" customFormat="1" ht="11.25" x14ac:dyDescent="0.2">
      <c r="A20" s="77"/>
      <c r="B20" s="77"/>
      <c r="C20" s="77"/>
      <c r="D20" s="77" t="s">
        <v>86</v>
      </c>
      <c r="E20" s="77"/>
      <c r="F20" s="51">
        <v>-18145.27</v>
      </c>
    </row>
    <row r="21" spans="1:6" x14ac:dyDescent="0.25">
      <c r="A21" s="77"/>
      <c r="B21" s="77"/>
      <c r="C21" s="77"/>
      <c r="D21" s="77" t="s">
        <v>7822</v>
      </c>
      <c r="E21" s="77"/>
      <c r="F21" s="51">
        <v>-7048</v>
      </c>
    </row>
    <row r="22" spans="1:6" x14ac:dyDescent="0.25">
      <c r="A22" s="77"/>
      <c r="B22" s="77"/>
      <c r="C22" s="77"/>
      <c r="D22" s="77" t="s">
        <v>7725</v>
      </c>
      <c r="E22" s="77"/>
      <c r="F22" s="51">
        <v>-38196.639999999999</v>
      </c>
    </row>
    <row r="23" spans="1:6" x14ac:dyDescent="0.25">
      <c r="A23" s="77"/>
      <c r="B23" s="77"/>
      <c r="C23" s="77"/>
      <c r="D23" s="77" t="s">
        <v>7836</v>
      </c>
      <c r="E23" s="77"/>
      <c r="F23" s="51">
        <v>-6000</v>
      </c>
    </row>
    <row r="24" spans="1:6" ht="15.75" thickBot="1" x14ac:dyDescent="0.3">
      <c r="A24" s="77"/>
      <c r="B24" s="77"/>
      <c r="C24" s="77"/>
      <c r="D24" s="77" t="s">
        <v>7823</v>
      </c>
      <c r="E24" s="77"/>
      <c r="F24" s="51">
        <v>-21048</v>
      </c>
    </row>
    <row r="25" spans="1:6" ht="15.75" thickBot="1" x14ac:dyDescent="0.3">
      <c r="A25" s="77"/>
      <c r="B25" s="77"/>
      <c r="C25" s="77" t="s">
        <v>7724</v>
      </c>
      <c r="D25" s="77"/>
      <c r="E25" s="77"/>
      <c r="F25" s="54">
        <f>ROUND(SUM(F19:F24),5)</f>
        <v>-90437.91</v>
      </c>
    </row>
    <row r="26" spans="1:6" x14ac:dyDescent="0.25">
      <c r="A26" s="77"/>
      <c r="B26" s="77" t="s">
        <v>7723</v>
      </c>
      <c r="C26" s="77"/>
      <c r="D26" s="77"/>
      <c r="E26" s="77"/>
      <c r="F26" s="51">
        <f>ROUND(F18+F25,5)</f>
        <v>172990.41</v>
      </c>
    </row>
    <row r="27" spans="1:6" ht="15.75" thickBot="1" x14ac:dyDescent="0.3">
      <c r="A27" s="77"/>
      <c r="B27" s="77" t="s">
        <v>7722</v>
      </c>
      <c r="C27" s="77"/>
      <c r="D27" s="77"/>
      <c r="E27" s="77"/>
      <c r="F27" s="51">
        <v>1456601.47</v>
      </c>
    </row>
    <row r="28" spans="1:6" ht="15.75" thickBot="1" x14ac:dyDescent="0.3">
      <c r="A28" s="77" t="s">
        <v>7721</v>
      </c>
      <c r="B28" s="77"/>
      <c r="C28" s="77"/>
      <c r="D28" s="77"/>
      <c r="E28" s="77"/>
      <c r="F28" s="55">
        <f>ROUND(SUM(F26:F27),5)</f>
        <v>1629591.88</v>
      </c>
    </row>
    <row r="29" spans="1:6" ht="15.75" thickTop="1" x14ac:dyDescent="0.25"/>
  </sheetData>
  <hyperlinks>
    <hyperlink ref="G1" location="Contents!A1" display="Contents" xr:uid="{F6320256-8D22-4972-9DF0-6060BDF09929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4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4" r:id="rId4" name="TextBox6"/>
      </mc:Fallback>
    </mc:AlternateContent>
    <mc:AlternateContent xmlns:mc="http://schemas.openxmlformats.org/markup-compatibility/2006">
      <mc:Choice Requires="x14">
        <control shapeId="58373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3" r:id="rId6" name="TextBox5"/>
      </mc:Fallback>
    </mc:AlternateContent>
    <mc:AlternateContent xmlns:mc="http://schemas.openxmlformats.org/markup-compatibility/2006">
      <mc:Choice Requires="x14">
        <control shapeId="58369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8" name="TextBox1"/>
      </mc:Fallback>
    </mc:AlternateContent>
    <mc:AlternateContent xmlns:mc="http://schemas.openxmlformats.org/markup-compatibility/2006">
      <mc:Choice Requires="x14">
        <control shapeId="58370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10" name="TextBox2"/>
      </mc:Fallback>
    </mc:AlternateContent>
    <mc:AlternateContent xmlns:mc="http://schemas.openxmlformats.org/markup-compatibility/2006">
      <mc:Choice Requires="x14">
        <control shapeId="58371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12" name="TextBox3"/>
      </mc:Fallback>
    </mc:AlternateContent>
    <mc:AlternateContent xmlns:mc="http://schemas.openxmlformats.org/markup-compatibility/2006">
      <mc:Choice Requires="x14">
        <control shapeId="58372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14" name="TextBox4"/>
      </mc:Fallback>
    </mc:AlternateContent>
    <mc:AlternateContent xmlns:mc="http://schemas.openxmlformats.org/markup-compatibility/2006">
      <mc:Choice Requires="x14">
        <control shapeId="58375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5" r:id="rId16" name="TextBox7"/>
      </mc:Fallback>
    </mc:AlternateContent>
    <mc:AlternateContent xmlns:mc="http://schemas.openxmlformats.org/markup-compatibility/2006">
      <mc:Choice Requires="x14">
        <control shapeId="58376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6" r:id="rId18" name="TextBox8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>
    <pageSetUpPr fitToPage="1"/>
  </sheetPr>
  <dimension ref="A1:I27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8" sqref="C2:H18"/>
    </sheetView>
  </sheetViews>
  <sheetFormatPr defaultRowHeight="15" x14ac:dyDescent="0.25"/>
  <cols>
    <col min="1" max="1" width="3" style="2" customWidth="1"/>
    <col min="2" max="2" width="29.85546875" style="2" customWidth="1"/>
    <col min="3" max="3" width="7.85546875" style="75" bestFit="1" customWidth="1"/>
    <col min="4" max="4" width="7" style="75" bestFit="1" customWidth="1"/>
    <col min="5" max="5" width="7.85546875" style="75" bestFit="1" customWidth="1"/>
    <col min="6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7837</v>
      </c>
      <c r="C2" s="51">
        <v>0</v>
      </c>
      <c r="D2" s="51">
        <v>0</v>
      </c>
      <c r="E2" s="51">
        <v>36076.1</v>
      </c>
      <c r="F2" s="51">
        <v>0</v>
      </c>
      <c r="G2" s="51">
        <v>0</v>
      </c>
      <c r="H2" s="51">
        <f t="shared" ref="H2:H18" si="0">ROUND(SUM(C2:G2),5)</f>
        <v>36076.1</v>
      </c>
    </row>
    <row r="3" spans="1:9" x14ac:dyDescent="0.25">
      <c r="A3" s="77"/>
      <c r="B3" s="77" t="s">
        <v>7850</v>
      </c>
      <c r="C3" s="51">
        <v>240</v>
      </c>
      <c r="D3" s="51">
        <v>0</v>
      </c>
      <c r="E3" s="51">
        <v>0</v>
      </c>
      <c r="F3" s="51">
        <v>0</v>
      </c>
      <c r="G3" s="51">
        <v>0</v>
      </c>
      <c r="H3" s="51">
        <f t="shared" si="0"/>
        <v>240</v>
      </c>
    </row>
    <row r="4" spans="1:9" x14ac:dyDescent="0.25">
      <c r="A4" s="77"/>
      <c r="B4" s="77" t="s">
        <v>7849</v>
      </c>
      <c r="C4" s="51">
        <v>143.69</v>
      </c>
      <c r="D4" s="51">
        <v>0</v>
      </c>
      <c r="E4" s="51">
        <v>0</v>
      </c>
      <c r="F4" s="51">
        <v>0</v>
      </c>
      <c r="G4" s="51">
        <v>0</v>
      </c>
      <c r="H4" s="51">
        <f t="shared" si="0"/>
        <v>143.69</v>
      </c>
    </row>
    <row r="5" spans="1:9" x14ac:dyDescent="0.25">
      <c r="A5" s="77"/>
      <c r="B5" s="77" t="s">
        <v>3415</v>
      </c>
      <c r="C5" s="51">
        <v>15.88</v>
      </c>
      <c r="D5" s="51">
        <v>0</v>
      </c>
      <c r="E5" s="51">
        <v>0</v>
      </c>
      <c r="F5" s="51">
        <v>0</v>
      </c>
      <c r="G5" s="51">
        <v>0</v>
      </c>
      <c r="H5" s="51">
        <f t="shared" si="0"/>
        <v>15.88</v>
      </c>
    </row>
    <row r="6" spans="1:9" x14ac:dyDescent="0.25">
      <c r="A6" s="77"/>
      <c r="B6" s="77" t="s">
        <v>7848</v>
      </c>
      <c r="C6" s="51">
        <v>1693.01</v>
      </c>
      <c r="D6" s="51">
        <v>0</v>
      </c>
      <c r="E6" s="51">
        <v>0</v>
      </c>
      <c r="F6" s="51">
        <v>0</v>
      </c>
      <c r="G6" s="51">
        <v>0</v>
      </c>
      <c r="H6" s="51">
        <f t="shared" si="0"/>
        <v>1693.01</v>
      </c>
    </row>
    <row r="7" spans="1:9" x14ac:dyDescent="0.25">
      <c r="A7" s="77"/>
      <c r="B7" s="77" t="s">
        <v>7827</v>
      </c>
      <c r="C7" s="51">
        <v>0</v>
      </c>
      <c r="D7" s="51">
        <v>0</v>
      </c>
      <c r="E7" s="51">
        <v>318.81</v>
      </c>
      <c r="F7" s="51">
        <v>0</v>
      </c>
      <c r="G7" s="51">
        <v>0</v>
      </c>
      <c r="H7" s="51">
        <f t="shared" si="0"/>
        <v>318.81</v>
      </c>
    </row>
    <row r="8" spans="1:9" x14ac:dyDescent="0.25">
      <c r="A8" s="77"/>
      <c r="B8" s="77" t="s">
        <v>7826</v>
      </c>
      <c r="C8" s="51">
        <v>0</v>
      </c>
      <c r="D8" s="51">
        <v>0</v>
      </c>
      <c r="E8" s="51">
        <v>5.16</v>
      </c>
      <c r="F8" s="51">
        <v>0</v>
      </c>
      <c r="G8" s="51">
        <v>0</v>
      </c>
      <c r="H8" s="51">
        <f t="shared" si="0"/>
        <v>5.16</v>
      </c>
    </row>
    <row r="9" spans="1:9" x14ac:dyDescent="0.25">
      <c r="A9" s="77"/>
      <c r="B9" s="77" t="s">
        <v>7847</v>
      </c>
      <c r="C9" s="51">
        <v>69.959999999999994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69.959999999999994</v>
      </c>
    </row>
    <row r="10" spans="1:9" x14ac:dyDescent="0.25">
      <c r="A10" s="77"/>
      <c r="B10" s="77" t="s">
        <v>2738</v>
      </c>
      <c r="C10" s="51">
        <v>11857.5</v>
      </c>
      <c r="D10" s="51">
        <v>0</v>
      </c>
      <c r="E10" s="51">
        <v>0</v>
      </c>
      <c r="F10" s="51">
        <v>0</v>
      </c>
      <c r="G10" s="51">
        <v>0</v>
      </c>
      <c r="H10" s="51">
        <f t="shared" si="0"/>
        <v>11857.5</v>
      </c>
    </row>
    <row r="11" spans="1:9" x14ac:dyDescent="0.25">
      <c r="A11" s="77"/>
      <c r="B11" s="77" t="s">
        <v>7694</v>
      </c>
      <c r="C11" s="51">
        <v>1848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1848</v>
      </c>
    </row>
    <row r="12" spans="1:9" x14ac:dyDescent="0.25">
      <c r="A12" s="77"/>
      <c r="B12" s="77" t="s">
        <v>264</v>
      </c>
      <c r="C12" s="51">
        <v>0</v>
      </c>
      <c r="D12" s="51">
        <v>2387.17</v>
      </c>
      <c r="E12" s="51">
        <v>0</v>
      </c>
      <c r="F12" s="51">
        <v>0</v>
      </c>
      <c r="G12" s="51">
        <v>0</v>
      </c>
      <c r="H12" s="51">
        <f t="shared" si="0"/>
        <v>2387.17</v>
      </c>
    </row>
    <row r="13" spans="1:9" x14ac:dyDescent="0.25">
      <c r="A13" s="77"/>
      <c r="B13" s="77" t="s">
        <v>7583</v>
      </c>
      <c r="C13" s="51">
        <v>720.15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720.15</v>
      </c>
    </row>
    <row r="14" spans="1:9" x14ac:dyDescent="0.25">
      <c r="A14" s="77"/>
      <c r="B14" s="77" t="s">
        <v>263</v>
      </c>
      <c r="C14" s="51">
        <v>0</v>
      </c>
      <c r="D14" s="51">
        <v>0</v>
      </c>
      <c r="E14" s="51">
        <v>0</v>
      </c>
      <c r="F14" s="51">
        <v>0</v>
      </c>
      <c r="G14" s="51">
        <v>-511.84</v>
      </c>
      <c r="H14" s="51">
        <f t="shared" si="0"/>
        <v>-511.84</v>
      </c>
    </row>
    <row r="15" spans="1:9" x14ac:dyDescent="0.25">
      <c r="A15" s="77"/>
      <c r="B15" s="77" t="s">
        <v>7740</v>
      </c>
      <c r="C15" s="51">
        <v>0</v>
      </c>
      <c r="D15" s="51">
        <v>0</v>
      </c>
      <c r="E15" s="51">
        <v>0</v>
      </c>
      <c r="F15" s="51">
        <v>0</v>
      </c>
      <c r="G15" s="51">
        <v>-172.65</v>
      </c>
      <c r="H15" s="51">
        <f t="shared" si="0"/>
        <v>-172.65</v>
      </c>
    </row>
    <row r="16" spans="1:9" x14ac:dyDescent="0.25">
      <c r="A16" s="77"/>
      <c r="B16" s="77" t="s">
        <v>7846</v>
      </c>
      <c r="C16" s="51">
        <v>150</v>
      </c>
      <c r="D16" s="51">
        <v>0</v>
      </c>
      <c r="E16" s="51">
        <v>0</v>
      </c>
      <c r="F16" s="51">
        <v>0</v>
      </c>
      <c r="G16" s="51">
        <v>0</v>
      </c>
      <c r="H16" s="51">
        <f t="shared" si="0"/>
        <v>150</v>
      </c>
    </row>
    <row r="17" spans="1:8" ht="15.75" thickBot="1" x14ac:dyDescent="0.3">
      <c r="A17" s="77"/>
      <c r="B17" s="77" t="s">
        <v>261</v>
      </c>
      <c r="C17" s="51">
        <v>9776.2800000000007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9776.2800000000007</v>
      </c>
    </row>
    <row r="18" spans="1:8" ht="15.75" thickBot="1" x14ac:dyDescent="0.3">
      <c r="A18" s="77" t="s">
        <v>2</v>
      </c>
      <c r="B18" s="77"/>
      <c r="C18" s="55">
        <f>ROUND(SUM(C2:C17),5)</f>
        <v>26514.47</v>
      </c>
      <c r="D18" s="55">
        <f>ROUND(SUM(D2:D17),5)</f>
        <v>2387.17</v>
      </c>
      <c r="E18" s="55">
        <f>ROUND(SUM(E2:E17),5)</f>
        <v>36400.07</v>
      </c>
      <c r="F18" s="55">
        <f>ROUND(SUM(F2:F17),5)</f>
        <v>0</v>
      </c>
      <c r="G18" s="55">
        <f>ROUND(SUM(G2:G17),5)</f>
        <v>-684.49</v>
      </c>
      <c r="H18" s="55">
        <f t="shared" si="0"/>
        <v>64617.22</v>
      </c>
    </row>
    <row r="19" spans="1:8" ht="15.75" thickTop="1" x14ac:dyDescent="0.25"/>
    <row r="27" spans="1:8" s="2" customFormat="1" x14ac:dyDescent="0.25">
      <c r="C27" s="75"/>
      <c r="D27" s="75"/>
      <c r="E27" s="75"/>
      <c r="F27" s="75"/>
      <c r="G27" s="75"/>
      <c r="H27" s="75"/>
    </row>
  </sheetData>
  <hyperlinks>
    <hyperlink ref="I1" location="Contents!A1" display="Contents" xr:uid="{25218D01-4CC2-4857-ACDB-E83DB01494F8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404" r:id="rId4" name="TextBox1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4" r:id="rId4" name="TextBox12"/>
      </mc:Fallback>
    </mc:AlternateContent>
    <mc:AlternateContent xmlns:mc="http://schemas.openxmlformats.org/markup-compatibility/2006">
      <mc:Choice Requires="x14">
        <control shapeId="59403" r:id="rId6" name="TextBox1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3" r:id="rId6" name="TextBox11"/>
      </mc:Fallback>
    </mc:AlternateContent>
    <mc:AlternateContent xmlns:mc="http://schemas.openxmlformats.org/markup-compatibility/2006">
      <mc:Choice Requires="x14">
        <control shapeId="59402" r:id="rId8" name="TextBox10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2" r:id="rId8" name="TextBox10"/>
      </mc:Fallback>
    </mc:AlternateContent>
    <mc:AlternateContent xmlns:mc="http://schemas.openxmlformats.org/markup-compatibility/2006">
      <mc:Choice Requires="x14">
        <control shapeId="59401" r:id="rId10" name="TextBox9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1" r:id="rId10" name="TextBox9"/>
      </mc:Fallback>
    </mc:AlternateContent>
    <mc:AlternateContent xmlns:mc="http://schemas.openxmlformats.org/markup-compatibility/2006">
      <mc:Choice Requires="x14">
        <control shapeId="59398" r:id="rId12" name="TextBox6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8" r:id="rId12" name="TextBox6"/>
      </mc:Fallback>
    </mc:AlternateContent>
    <mc:AlternateContent xmlns:mc="http://schemas.openxmlformats.org/markup-compatibility/2006">
      <mc:Choice Requires="x14">
        <control shapeId="59397" r:id="rId14" name="TextBox5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7" r:id="rId14" name="TextBox5"/>
      </mc:Fallback>
    </mc:AlternateContent>
    <mc:AlternateContent xmlns:mc="http://schemas.openxmlformats.org/markup-compatibility/2006">
      <mc:Choice Requires="x14">
        <control shapeId="59393" r:id="rId16" name="TextBox1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16" name="TextBox1"/>
      </mc:Fallback>
    </mc:AlternateContent>
    <mc:AlternateContent xmlns:mc="http://schemas.openxmlformats.org/markup-compatibility/2006">
      <mc:Choice Requires="x14">
        <control shapeId="59394" r:id="rId18" name="TextBox2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18" name="TextBox2"/>
      </mc:Fallback>
    </mc:AlternateContent>
    <mc:AlternateContent xmlns:mc="http://schemas.openxmlformats.org/markup-compatibility/2006">
      <mc:Choice Requires="x14">
        <control shapeId="59395" r:id="rId20" name="TextBox3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20" name="TextBox3"/>
      </mc:Fallback>
    </mc:AlternateContent>
    <mc:AlternateContent xmlns:mc="http://schemas.openxmlformats.org/markup-compatibility/2006">
      <mc:Choice Requires="x14">
        <control shapeId="59396" r:id="rId22" name="TextBox4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22" name="TextBox4"/>
      </mc:Fallback>
    </mc:AlternateContent>
    <mc:AlternateContent xmlns:mc="http://schemas.openxmlformats.org/markup-compatibility/2006">
      <mc:Choice Requires="x14">
        <control shapeId="59399" r:id="rId24" name="TextBox7">
          <controlPr defaultSize="0" autoLine="0" r:id="rId2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9" r:id="rId24" name="TextBox7"/>
      </mc:Fallback>
    </mc:AlternateContent>
    <mc:AlternateContent xmlns:mc="http://schemas.openxmlformats.org/markup-compatibility/2006">
      <mc:Choice Requires="x14">
        <control shapeId="59400" r:id="rId26" name="TextBox8">
          <controlPr defaultSize="0" autoLine="0" r:id="rId2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0" r:id="rId26" name="TextBox8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>
    <pageSetUpPr fitToPage="1"/>
  </sheetPr>
  <dimension ref="A1:I47"/>
  <sheetViews>
    <sheetView zoomScale="148" zoomScaleNormal="148" workbookViewId="0">
      <pane xSplit="2" ySplit="1" topLeftCell="C21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3" width="8.7109375" style="75" bestFit="1" customWidth="1"/>
    <col min="4" max="4" width="5" style="75" bestFit="1" customWidth="1"/>
    <col min="5" max="6" width="7.85546875" style="75" bestFit="1" customWidth="1"/>
    <col min="7" max="7" width="8.4257812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0</v>
      </c>
      <c r="G2" s="51">
        <v>2000</v>
      </c>
      <c r="H2" s="51">
        <f t="shared" ref="H2:H40" si="0">ROUND(SUM(C2:G2),5)</f>
        <v>2000</v>
      </c>
    </row>
    <row r="3" spans="1:9" x14ac:dyDescent="0.25">
      <c r="A3" s="77"/>
      <c r="B3" s="77" t="s">
        <v>7856</v>
      </c>
      <c r="C3" s="51">
        <v>5000</v>
      </c>
      <c r="D3" s="51">
        <v>0</v>
      </c>
      <c r="E3" s="51">
        <v>0</v>
      </c>
      <c r="F3" s="51">
        <v>0</v>
      </c>
      <c r="G3" s="51">
        <v>0</v>
      </c>
      <c r="H3" s="51">
        <f t="shared" si="0"/>
        <v>5000</v>
      </c>
    </row>
    <row r="4" spans="1:9" x14ac:dyDescent="0.25">
      <c r="A4" s="77"/>
      <c r="B4" s="77" t="s">
        <v>7855</v>
      </c>
      <c r="C4" s="51">
        <v>19000</v>
      </c>
      <c r="D4" s="51">
        <v>0</v>
      </c>
      <c r="E4" s="51">
        <v>0</v>
      </c>
      <c r="F4" s="51">
        <v>0</v>
      </c>
      <c r="G4" s="51">
        <v>0</v>
      </c>
      <c r="H4" s="51">
        <f t="shared" si="0"/>
        <v>19000</v>
      </c>
    </row>
    <row r="5" spans="1:9" x14ac:dyDescent="0.25">
      <c r="A5" s="77"/>
      <c r="B5" s="77" t="s">
        <v>253</v>
      </c>
      <c r="C5" s="51">
        <v>0</v>
      </c>
      <c r="D5" s="51">
        <v>0</v>
      </c>
      <c r="E5" s="51">
        <v>0</v>
      </c>
      <c r="F5" s="51">
        <v>0</v>
      </c>
      <c r="G5" s="51">
        <v>-132.5</v>
      </c>
      <c r="H5" s="51">
        <f t="shared" si="0"/>
        <v>-132.5</v>
      </c>
    </row>
    <row r="6" spans="1:9" x14ac:dyDescent="0.25">
      <c r="A6" s="77"/>
      <c r="B6" s="77" t="s">
        <v>252</v>
      </c>
      <c r="C6" s="51">
        <v>0</v>
      </c>
      <c r="D6" s="51">
        <v>0</v>
      </c>
      <c r="E6" s="51">
        <v>0</v>
      </c>
      <c r="F6" s="51">
        <v>0</v>
      </c>
      <c r="G6" s="51">
        <v>-54012.77</v>
      </c>
      <c r="H6" s="51">
        <f t="shared" si="0"/>
        <v>-54012.77</v>
      </c>
    </row>
    <row r="7" spans="1:9" x14ac:dyDescent="0.25">
      <c r="A7" s="77"/>
      <c r="B7" s="77" t="s">
        <v>5132</v>
      </c>
      <c r="C7" s="51">
        <v>29750</v>
      </c>
      <c r="D7" s="51">
        <v>0</v>
      </c>
      <c r="E7" s="51">
        <v>0</v>
      </c>
      <c r="F7" s="51">
        <v>0</v>
      </c>
      <c r="G7" s="51">
        <v>0</v>
      </c>
      <c r="H7" s="51">
        <f t="shared" si="0"/>
        <v>29750</v>
      </c>
    </row>
    <row r="8" spans="1:9" x14ac:dyDescent="0.25">
      <c r="A8" s="77"/>
      <c r="B8" s="77" t="s">
        <v>7737</v>
      </c>
      <c r="C8" s="51">
        <v>0</v>
      </c>
      <c r="D8" s="51">
        <v>0</v>
      </c>
      <c r="E8" s="51">
        <v>0</v>
      </c>
      <c r="F8" s="51">
        <v>0</v>
      </c>
      <c r="G8" s="51">
        <v>650.32000000000005</v>
      </c>
      <c r="H8" s="51">
        <f t="shared" si="0"/>
        <v>650.32000000000005</v>
      </c>
    </row>
    <row r="9" spans="1:9" x14ac:dyDescent="0.25">
      <c r="A9" s="77"/>
      <c r="B9" s="77" t="s">
        <v>251</v>
      </c>
      <c r="C9" s="51">
        <v>28250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28250</v>
      </c>
    </row>
    <row r="10" spans="1:9" x14ac:dyDescent="0.25">
      <c r="A10" s="77"/>
      <c r="B10" s="77" t="s">
        <v>7736</v>
      </c>
      <c r="C10" s="51">
        <v>17999</v>
      </c>
      <c r="D10" s="51">
        <v>0</v>
      </c>
      <c r="E10" s="51">
        <v>0</v>
      </c>
      <c r="F10" s="51">
        <v>0</v>
      </c>
      <c r="G10" s="51">
        <v>0</v>
      </c>
      <c r="H10" s="51">
        <f t="shared" si="0"/>
        <v>17999</v>
      </c>
    </row>
    <row r="11" spans="1:9" x14ac:dyDescent="0.25">
      <c r="A11" s="77"/>
      <c r="B11" s="77" t="s">
        <v>7854</v>
      </c>
      <c r="C11" s="51">
        <v>5000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5000</v>
      </c>
    </row>
    <row r="12" spans="1:9" x14ac:dyDescent="0.25">
      <c r="A12" s="77"/>
      <c r="B12" s="77" t="s">
        <v>7853</v>
      </c>
      <c r="C12" s="51">
        <v>10030</v>
      </c>
      <c r="D12" s="51">
        <v>0</v>
      </c>
      <c r="E12" s="51">
        <v>0</v>
      </c>
      <c r="F12" s="51">
        <v>0</v>
      </c>
      <c r="G12" s="51">
        <v>0</v>
      </c>
      <c r="H12" s="51">
        <f t="shared" si="0"/>
        <v>10030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7852</v>
      </c>
      <c r="C15" s="51">
        <v>25000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25000</v>
      </c>
    </row>
    <row r="16" spans="1:9" x14ac:dyDescent="0.25">
      <c r="A16" s="77"/>
      <c r="B16" s="77" t="s">
        <v>7838</v>
      </c>
      <c r="C16" s="51">
        <v>11250</v>
      </c>
      <c r="D16" s="51">
        <v>0</v>
      </c>
      <c r="E16" s="51">
        <v>0</v>
      </c>
      <c r="F16" s="51">
        <v>0</v>
      </c>
      <c r="G16" s="51">
        <v>0</v>
      </c>
      <c r="H16" s="51">
        <f t="shared" si="0"/>
        <v>11250</v>
      </c>
    </row>
    <row r="17" spans="1:8" x14ac:dyDescent="0.25">
      <c r="A17" s="77"/>
      <c r="B17" s="77" t="s">
        <v>7817</v>
      </c>
      <c r="C17" s="51">
        <v>0</v>
      </c>
      <c r="D17" s="51">
        <v>0</v>
      </c>
      <c r="E17" s="51">
        <v>0</v>
      </c>
      <c r="F17" s="51">
        <v>15000</v>
      </c>
      <c r="G17" s="51">
        <v>0</v>
      </c>
      <c r="H17" s="51">
        <f t="shared" si="0"/>
        <v>15000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7735</v>
      </c>
      <c r="C19" s="51">
        <v>0</v>
      </c>
      <c r="D19" s="51">
        <v>0</v>
      </c>
      <c r="E19" s="51">
        <v>0</v>
      </c>
      <c r="F19" s="51">
        <v>0</v>
      </c>
      <c r="G19" s="51">
        <v>5000</v>
      </c>
      <c r="H19" s="51">
        <f t="shared" si="0"/>
        <v>5000</v>
      </c>
    </row>
    <row r="20" spans="1:8" x14ac:dyDescent="0.25">
      <c r="A20" s="77"/>
      <c r="B20" s="77" t="s">
        <v>7801</v>
      </c>
      <c r="C20" s="51">
        <v>0</v>
      </c>
      <c r="D20" s="51">
        <v>0</v>
      </c>
      <c r="E20" s="51">
        <v>0</v>
      </c>
      <c r="F20" s="51">
        <v>0</v>
      </c>
      <c r="G20" s="51">
        <v>2000</v>
      </c>
      <c r="H20" s="51">
        <f t="shared" si="0"/>
        <v>2000</v>
      </c>
    </row>
    <row r="21" spans="1:8" x14ac:dyDescent="0.25">
      <c r="A21" s="77"/>
      <c r="B21" s="77" t="s">
        <v>246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0</v>
      </c>
    </row>
    <row r="22" spans="1:8" x14ac:dyDescent="0.25">
      <c r="A22" s="77"/>
      <c r="B22" s="77" t="s">
        <v>245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0</v>
      </c>
    </row>
    <row r="23" spans="1:8" x14ac:dyDescent="0.25">
      <c r="A23" s="77"/>
      <c r="B23" s="77" t="s">
        <v>244</v>
      </c>
      <c r="C23" s="51">
        <v>0</v>
      </c>
      <c r="D23" s="51">
        <v>0</v>
      </c>
      <c r="E23" s="51">
        <v>0</v>
      </c>
      <c r="F23" s="51">
        <v>0</v>
      </c>
      <c r="G23" s="51">
        <v>245</v>
      </c>
      <c r="H23" s="51">
        <f t="shared" si="0"/>
        <v>245</v>
      </c>
    </row>
    <row r="24" spans="1:8" x14ac:dyDescent="0.25">
      <c r="A24" s="77"/>
      <c r="B24" s="77" t="s">
        <v>3284</v>
      </c>
      <c r="C24" s="51">
        <v>0</v>
      </c>
      <c r="D24" s="51">
        <v>0</v>
      </c>
      <c r="E24" s="51">
        <v>0</v>
      </c>
      <c r="F24" s="51">
        <v>0</v>
      </c>
      <c r="G24" s="51">
        <v>600</v>
      </c>
      <c r="H24" s="51">
        <f t="shared" si="0"/>
        <v>600</v>
      </c>
    </row>
    <row r="25" spans="1:8" x14ac:dyDescent="0.25">
      <c r="A25" s="77"/>
      <c r="B25" s="77" t="s">
        <v>243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f t="shared" si="0"/>
        <v>0</v>
      </c>
    </row>
    <row r="26" spans="1:8" x14ac:dyDescent="0.25">
      <c r="A26" s="77"/>
      <c r="B26" s="77" t="s">
        <v>242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7851</v>
      </c>
      <c r="C27" s="51">
        <v>5000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5000</v>
      </c>
    </row>
    <row r="28" spans="1:8" x14ac:dyDescent="0.25">
      <c r="A28" s="77"/>
      <c r="B28" s="77" t="s">
        <v>241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f t="shared" si="0"/>
        <v>0</v>
      </c>
    </row>
    <row r="29" spans="1:8" x14ac:dyDescent="0.25">
      <c r="A29" s="77"/>
      <c r="B29" s="77" t="s">
        <v>240</v>
      </c>
      <c r="C29" s="51">
        <v>0</v>
      </c>
      <c r="D29" s="51">
        <v>0</v>
      </c>
      <c r="E29" s="51">
        <v>0</v>
      </c>
      <c r="F29" s="51">
        <v>0</v>
      </c>
      <c r="G29" s="51">
        <v>-400</v>
      </c>
      <c r="H29" s="51">
        <f t="shared" si="0"/>
        <v>-400</v>
      </c>
    </row>
    <row r="30" spans="1:8" x14ac:dyDescent="0.25">
      <c r="A30" s="77"/>
      <c r="B30" s="77" t="s">
        <v>7559</v>
      </c>
      <c r="C30" s="51">
        <v>0</v>
      </c>
      <c r="D30" s="51">
        <v>0</v>
      </c>
      <c r="E30" s="51">
        <v>0</v>
      </c>
      <c r="F30" s="51">
        <v>0</v>
      </c>
      <c r="G30" s="51">
        <v>250</v>
      </c>
      <c r="H30" s="51">
        <f t="shared" si="0"/>
        <v>250</v>
      </c>
    </row>
    <row r="31" spans="1:8" x14ac:dyDescent="0.25">
      <c r="A31" s="77"/>
      <c r="B31" s="77" t="s">
        <v>6325</v>
      </c>
      <c r="C31" s="51">
        <v>0</v>
      </c>
      <c r="D31" s="51">
        <v>0</v>
      </c>
      <c r="E31" s="51">
        <v>0</v>
      </c>
      <c r="F31" s="51">
        <v>0</v>
      </c>
      <c r="G31" s="51">
        <v>24999</v>
      </c>
      <c r="H31" s="51">
        <f t="shared" si="0"/>
        <v>24999</v>
      </c>
    </row>
    <row r="32" spans="1:8" x14ac:dyDescent="0.25">
      <c r="A32" s="77"/>
      <c r="B32" s="77" t="s">
        <v>7825</v>
      </c>
      <c r="C32" s="51">
        <v>0</v>
      </c>
      <c r="D32" s="51">
        <v>0</v>
      </c>
      <c r="E32" s="51">
        <v>15000</v>
      </c>
      <c r="F32" s="51">
        <v>0</v>
      </c>
      <c r="G32" s="51">
        <v>0</v>
      </c>
      <c r="H32" s="51">
        <f t="shared" si="0"/>
        <v>15000</v>
      </c>
    </row>
    <row r="33" spans="1:8" x14ac:dyDescent="0.25">
      <c r="A33" s="77"/>
      <c r="B33" s="77" t="s">
        <v>7824</v>
      </c>
      <c r="C33" s="51">
        <v>0</v>
      </c>
      <c r="D33" s="51">
        <v>0</v>
      </c>
      <c r="E33" s="51">
        <v>1160</v>
      </c>
      <c r="F33" s="51">
        <v>0</v>
      </c>
      <c r="G33" s="51">
        <v>0</v>
      </c>
      <c r="H33" s="51">
        <f t="shared" si="0"/>
        <v>1160</v>
      </c>
    </row>
    <row r="34" spans="1:8" x14ac:dyDescent="0.25">
      <c r="A34" s="77"/>
      <c r="B34" s="77" t="s">
        <v>7481</v>
      </c>
      <c r="C34" s="51">
        <v>0</v>
      </c>
      <c r="D34" s="51">
        <v>0</v>
      </c>
      <c r="E34" s="51">
        <v>0</v>
      </c>
      <c r="F34" s="51">
        <v>0</v>
      </c>
      <c r="G34" s="51">
        <v>2000</v>
      </c>
      <c r="H34" s="51">
        <f t="shared" si="0"/>
        <v>2000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x14ac:dyDescent="0.25">
      <c r="A36" s="77"/>
      <c r="B36" s="77" t="s">
        <v>7802</v>
      </c>
      <c r="C36" s="51">
        <v>0</v>
      </c>
      <c r="D36" s="51">
        <v>0</v>
      </c>
      <c r="E36" s="51">
        <v>0</v>
      </c>
      <c r="F36" s="51">
        <v>0</v>
      </c>
      <c r="G36" s="51">
        <v>800</v>
      </c>
      <c r="H36" s="51">
        <f t="shared" si="0"/>
        <v>800</v>
      </c>
    </row>
    <row r="37" spans="1:8" x14ac:dyDescent="0.25">
      <c r="A37" s="77"/>
      <c r="B37" s="77" t="s">
        <v>7734</v>
      </c>
      <c r="C37" s="51">
        <v>0</v>
      </c>
      <c r="D37" s="51">
        <v>0</v>
      </c>
      <c r="E37" s="51">
        <v>0</v>
      </c>
      <c r="F37" s="51">
        <v>0</v>
      </c>
      <c r="G37" s="51">
        <v>5000</v>
      </c>
      <c r="H37" s="51">
        <f t="shared" si="0"/>
        <v>5000</v>
      </c>
    </row>
    <row r="38" spans="1:8" x14ac:dyDescent="0.25">
      <c r="A38" s="77"/>
      <c r="B38" s="77" t="s">
        <v>7551</v>
      </c>
      <c r="C38" s="51">
        <v>0</v>
      </c>
      <c r="D38" s="51">
        <v>0</v>
      </c>
      <c r="E38" s="51">
        <v>0</v>
      </c>
      <c r="F38" s="51">
        <v>0</v>
      </c>
      <c r="G38" s="51">
        <v>5000</v>
      </c>
      <c r="H38" s="51">
        <f t="shared" si="0"/>
        <v>5000</v>
      </c>
    </row>
    <row r="39" spans="1:8" ht="15.75" thickBot="1" x14ac:dyDescent="0.3">
      <c r="A39" s="77"/>
      <c r="B39" s="77" t="s">
        <v>4081</v>
      </c>
      <c r="C39" s="51">
        <v>19000</v>
      </c>
      <c r="D39" s="51">
        <v>0</v>
      </c>
      <c r="E39" s="51">
        <v>0</v>
      </c>
      <c r="F39" s="51">
        <v>0</v>
      </c>
      <c r="G39" s="51">
        <v>0</v>
      </c>
      <c r="H39" s="51">
        <f t="shared" si="0"/>
        <v>19000</v>
      </c>
    </row>
    <row r="40" spans="1:8" ht="15.75" thickBot="1" x14ac:dyDescent="0.3">
      <c r="A40" s="77" t="s">
        <v>2</v>
      </c>
      <c r="B40" s="77"/>
      <c r="C40" s="55">
        <f>ROUND(SUM(C2:C39),5)</f>
        <v>175279</v>
      </c>
      <c r="D40" s="55">
        <f>ROUND(SUM(D2:D39),5)</f>
        <v>0</v>
      </c>
      <c r="E40" s="55">
        <f>ROUND(SUM(E2:E39),5)</f>
        <v>16160</v>
      </c>
      <c r="F40" s="55">
        <f>ROUND(SUM(F2:F39),5)</f>
        <v>15000</v>
      </c>
      <c r="G40" s="55">
        <f>ROUND(SUM(G2:G39),5)</f>
        <v>-6000.95</v>
      </c>
      <c r="H40" s="55">
        <f t="shared" si="0"/>
        <v>200438.05</v>
      </c>
    </row>
    <row r="41" spans="1:8" ht="15.75" thickTop="1" x14ac:dyDescent="0.25"/>
    <row r="47" spans="1:8" s="2" customFormat="1" x14ac:dyDescent="0.25">
      <c r="C47" s="75"/>
      <c r="D47" s="75"/>
      <c r="E47" s="75"/>
      <c r="F47" s="75"/>
      <c r="G47" s="75"/>
      <c r="H47" s="75"/>
    </row>
  </sheetData>
  <hyperlinks>
    <hyperlink ref="I1" location="Contents!A1" display="Contents" xr:uid="{49D4A981-F3A3-43A1-BD38-8B87A913C252}"/>
  </hyperlinks>
  <pageMargins left="0.7" right="0.7" top="0.75" bottom="0.75" header="0.3" footer="0.3"/>
  <pageSetup scale="74" orientation="landscape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26" r:id="rId4" name="TextBox10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6" r:id="rId4" name="TextBox10"/>
      </mc:Fallback>
    </mc:AlternateContent>
    <mc:AlternateContent xmlns:mc="http://schemas.openxmlformats.org/markup-compatibility/2006">
      <mc:Choice Requires="x14">
        <control shapeId="60425" r:id="rId6" name="TextBox9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5" r:id="rId6" name="TextBox9"/>
      </mc:Fallback>
    </mc:AlternateContent>
    <mc:AlternateContent xmlns:mc="http://schemas.openxmlformats.org/markup-compatibility/2006">
      <mc:Choice Requires="x14">
        <control shapeId="60424" r:id="rId8" name="TextBox8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4" r:id="rId8" name="TextBox8"/>
      </mc:Fallback>
    </mc:AlternateContent>
    <mc:AlternateContent xmlns:mc="http://schemas.openxmlformats.org/markup-compatibility/2006">
      <mc:Choice Requires="x14">
        <control shapeId="60423" r:id="rId10" name="TextBox7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3" r:id="rId10" name="TextBox7"/>
      </mc:Fallback>
    </mc:AlternateContent>
    <mc:AlternateContent xmlns:mc="http://schemas.openxmlformats.org/markup-compatibility/2006">
      <mc:Choice Requires="x14">
        <control shapeId="60417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12" name="TextBox1"/>
      </mc:Fallback>
    </mc:AlternateContent>
    <mc:AlternateContent xmlns:mc="http://schemas.openxmlformats.org/markup-compatibility/2006">
      <mc:Choice Requires="x14">
        <control shapeId="60418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14" name="TextBox2"/>
      </mc:Fallback>
    </mc:AlternateContent>
    <mc:AlternateContent xmlns:mc="http://schemas.openxmlformats.org/markup-compatibility/2006">
      <mc:Choice Requires="x14">
        <control shapeId="60419" r:id="rId16" name="TextBox3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16" name="TextBox3"/>
      </mc:Fallback>
    </mc:AlternateContent>
    <mc:AlternateContent xmlns:mc="http://schemas.openxmlformats.org/markup-compatibility/2006">
      <mc:Choice Requires="x14">
        <control shapeId="60420" r:id="rId18" name="TextBox4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18" name="TextBox4"/>
      </mc:Fallback>
    </mc:AlternateContent>
    <mc:AlternateContent xmlns:mc="http://schemas.openxmlformats.org/markup-compatibility/2006">
      <mc:Choice Requires="x14">
        <control shapeId="60421" r:id="rId20" name="TextBox5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1" r:id="rId20" name="TextBox5"/>
      </mc:Fallback>
    </mc:AlternateContent>
    <mc:AlternateContent xmlns:mc="http://schemas.openxmlformats.org/markup-compatibility/2006">
      <mc:Choice Requires="x14">
        <control shapeId="60422" r:id="rId22" name="TextBox6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2" r:id="rId22" name="TextBox6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1" sqref="H1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1"/>
      <c r="E1" s="112" t="s">
        <v>7750</v>
      </c>
      <c r="F1" s="113"/>
      <c r="G1" s="114"/>
      <c r="H1" s="39" t="s">
        <v>224</v>
      </c>
      <c r="I1" s="115" t="s">
        <v>7751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6" t="s">
        <v>7741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7" t="s">
        <v>7752</v>
      </c>
      <c r="H3" s="5"/>
      <c r="I3" s="5"/>
      <c r="J3" s="5"/>
      <c r="K3" s="5"/>
      <c r="L3" s="5"/>
      <c r="M3" s="5"/>
      <c r="N3" s="118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7743</v>
      </c>
      <c r="F7" s="27"/>
      <c r="G7" s="119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7" t="s">
        <v>7744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7" t="s">
        <v>7745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20" t="s">
        <v>7753</v>
      </c>
      <c r="F12" s="121"/>
      <c r="G12" s="122">
        <v>40000</v>
      </c>
      <c r="H12" s="5"/>
      <c r="I12" s="27" t="s">
        <v>7754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7755</v>
      </c>
      <c r="F13" s="27"/>
      <c r="G13" s="69">
        <f>'[4]updated event rev &amp; Exp 1.4.22 '!G10</f>
        <v>85000</v>
      </c>
      <c r="H13" s="5"/>
      <c r="I13" s="123" t="s">
        <v>7756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7757</v>
      </c>
      <c r="D14" s="5"/>
      <c r="E14" s="5"/>
      <c r="F14" s="27"/>
      <c r="G14" s="69"/>
      <c r="H14" s="5"/>
      <c r="I14" s="123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3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3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3" t="s">
        <v>7758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3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3" t="s">
        <v>7759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4" t="s">
        <v>7746</v>
      </c>
      <c r="E20" s="5"/>
      <c r="F20" s="27"/>
      <c r="G20" s="109">
        <f>'[4]updated event rev &amp; Exp 1.4.22 '!G18</f>
        <v>10000</v>
      </c>
      <c r="H20" s="5"/>
      <c r="I20" s="123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5" t="s">
        <v>5224</v>
      </c>
      <c r="E21" s="5"/>
      <c r="F21" s="27"/>
      <c r="G21" s="109">
        <f>'[4]updated event rev &amp; Exp 1.4.22 '!G19</f>
        <v>50000</v>
      </c>
      <c r="H21" s="5"/>
      <c r="I21" s="123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4" t="s">
        <v>7760</v>
      </c>
      <c r="E22" s="5"/>
      <c r="F22" s="27"/>
      <c r="G22" s="109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3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3" t="s">
        <v>7761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3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3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3" t="s">
        <v>7762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3" t="s">
        <v>7763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9">
        <v>250000</v>
      </c>
      <c r="H29" s="5"/>
      <c r="I29" s="123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3" t="s">
        <v>7762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3" t="s">
        <v>7762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3"/>
      <c r="J32" s="126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3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7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7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30" customFormat="1" ht="12.75" x14ac:dyDescent="0.2">
      <c r="A40" s="4"/>
      <c r="B40" s="4" t="s">
        <v>7422</v>
      </c>
      <c r="C40" s="4"/>
      <c r="D40" s="4"/>
      <c r="E40" s="4"/>
      <c r="F40" s="128"/>
      <c r="G40" s="129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3" t="s">
        <v>7759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1" t="s">
        <v>7758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7" t="s">
        <v>7764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7755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7765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4" t="s">
        <v>7746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5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4" t="s">
        <v>7760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7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2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7" t="s">
        <v>7766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7" t="s">
        <v>7767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7768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7769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7" t="s">
        <v>7770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7" t="s">
        <v>7771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7772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7" t="s">
        <v>7773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7" t="s">
        <v>7774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7" t="s">
        <v>7775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7749</v>
      </c>
      <c r="D83" s="5"/>
      <c r="E83" s="5"/>
      <c r="F83" s="27"/>
      <c r="G83" s="56">
        <v>30000</v>
      </c>
      <c r="I83" s="5" t="s">
        <v>7776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7777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7" t="s">
        <v>7778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7" t="s">
        <v>7779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7" t="s">
        <v>7780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7" t="s">
        <v>7781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7782</v>
      </c>
      <c r="E113" s="5"/>
      <c r="F113" s="27" t="s">
        <v>202</v>
      </c>
      <c r="G113" s="69">
        <v>25000</v>
      </c>
      <c r="I113" s="5" t="s">
        <v>7783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7784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3">
        <v>136735.26019999999</v>
      </c>
      <c r="I119" s="5" t="s">
        <v>7785</v>
      </c>
      <c r="K119" s="5"/>
      <c r="M119" s="134">
        <f>G119+G108+G98+G88+G73+G62+G44+G120</f>
        <v>821170.58799999999</v>
      </c>
      <c r="N119" s="5" t="s">
        <v>7786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7787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7788</v>
      </c>
      <c r="C121" s="5"/>
      <c r="E121" s="5"/>
      <c r="F121" s="27" t="s">
        <v>202</v>
      </c>
      <c r="G121" s="69">
        <v>3000</v>
      </c>
      <c r="I121" s="5" t="s">
        <v>7789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7790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5" t="s">
        <v>7791</v>
      </c>
      <c r="C123" s="136"/>
      <c r="D123" s="136"/>
      <c r="E123" s="136"/>
      <c r="F123" s="137"/>
      <c r="G123" s="138">
        <v>43000</v>
      </c>
      <c r="I123" s="27" t="s">
        <v>7792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7793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7794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7795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7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7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7796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7797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1">
        <f>L137/12</f>
        <v>121179.31983333333</v>
      </c>
      <c r="N137" s="151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7799</v>
      </c>
      <c r="F138" s="5"/>
      <c r="G138" s="145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5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5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5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5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5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5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5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4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28" activePane="bottomRight" state="frozen"/>
      <selection pane="topRight" activeCell="G1" sqref="G1"/>
      <selection pane="bottomLeft" activeCell="A4" sqref="A4"/>
      <selection pane="bottomRight" activeCell="H17" sqref="H17:I21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20" width="12.7109375" style="75" customWidth="1"/>
    <col min="21" max="32" width="12.7109375" style="75" hidden="1" customWidth="1"/>
    <col min="33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7741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7742</v>
      </c>
      <c r="T3" s="9" t="s">
        <v>7866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7743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SUM(G7:K7)</f>
        <v>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6"/>
      <c r="D8" s="106"/>
      <c r="E8" s="107" t="s">
        <v>7744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71" si="7">SUM(G8:K8)</f>
        <v>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7" t="s">
        <v>7745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7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7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7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7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8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10000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8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7746</v>
      </c>
      <c r="E20" s="5"/>
      <c r="F20" s="109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7747</v>
      </c>
      <c r="E21" s="5"/>
      <c r="F21" s="109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12500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7748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100000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125000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9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104166.66666666666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20833.333333333336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12500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1000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10000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 t="shared" si="7"/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si="7"/>
        <v>406000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7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7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68">
        <f t="shared" si="7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6"/>
      <c r="E42" s="110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7"/>
        <v>76066.666666666672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10"/>
      <c r="D43" s="110"/>
      <c r="E43" s="110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6">SUM(G43:R43)</f>
        <v>0</v>
      </c>
      <c r="T43" s="68">
        <f t="shared" si="7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6"/>
        <v>0</v>
      </c>
      <c r="T44" s="68">
        <f t="shared" si="7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10"/>
      <c r="D45" s="110" t="str">
        <f>D6</f>
        <v>Global AppSec</v>
      </c>
      <c r="E45" s="110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6"/>
        <v>0</v>
      </c>
      <c r="T45" s="68">
        <f t="shared" si="7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6"/>
        <v>50000</v>
      </c>
      <c r="T46" s="68">
        <f t="shared" si="7"/>
        <v>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7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6"/>
        <v>50000</v>
      </c>
      <c r="T47" s="68">
        <f t="shared" si="7"/>
        <v>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7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6"/>
        <v>520000</v>
      </c>
      <c r="T48" s="68">
        <f t="shared" si="7"/>
        <v>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6" t="str">
        <f>D16</f>
        <v>AppSec Days</v>
      </c>
      <c r="E49" s="106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6"/>
        <v>0</v>
      </c>
      <c r="T49" s="68">
        <f t="shared" si="7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6"/>
        <v>0</v>
      </c>
      <c r="T50" s="68">
        <f t="shared" si="7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6"/>
        <v>55000</v>
      </c>
      <c r="T51" s="68">
        <f t="shared" si="7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6"/>
        <v>0</v>
      </c>
      <c r="T52" s="68">
        <f t="shared" si="7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6"/>
        <v>7500</v>
      </c>
      <c r="T53" s="68">
        <f t="shared" si="7"/>
        <v>1875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6"/>
        <v>18080</v>
      </c>
      <c r="T54" s="68">
        <f t="shared" si="7"/>
        <v>4520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7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7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7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7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6"/>
        <v>90000</v>
      </c>
      <c r="T59" s="68">
        <f t="shared" si="7"/>
        <v>90000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6"/>
        <v>0</v>
      </c>
      <c r="T60" s="68">
        <f t="shared" si="7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6"/>
        <v>60000</v>
      </c>
      <c r="T61" s="68">
        <f t="shared" si="7"/>
        <v>25000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6"/>
        <v>0</v>
      </c>
      <c r="T62" s="68">
        <f t="shared" si="7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6"/>
        <v>0</v>
      </c>
      <c r="T63" s="68">
        <f t="shared" si="7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6"/>
        <v>18000</v>
      </c>
      <c r="T64" s="68">
        <f t="shared" si="7"/>
        <v>7500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6"/>
        <v>183813.47040000002</v>
      </c>
      <c r="T65" s="68">
        <f t="shared" si="7"/>
        <v>76588.946000000011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6"/>
        <v>0</v>
      </c>
      <c r="T66" s="68">
        <f t="shared" si="7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6"/>
        <v>0</v>
      </c>
      <c r="T67" s="68">
        <f t="shared" si="7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6"/>
        <v>0</v>
      </c>
      <c r="T68" s="68">
        <f t="shared" si="7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6"/>
        <v>0</v>
      </c>
      <c r="T69" s="68">
        <f t="shared" si="7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6"/>
        <v>0</v>
      </c>
      <c r="T70" s="68">
        <f t="shared" si="7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6"/>
        <v>0</v>
      </c>
      <c r="T71" s="68">
        <f t="shared" si="7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6"/>
        <v>9000</v>
      </c>
      <c r="T72" s="68">
        <f t="shared" ref="T72:T134" si="18">SUM(G72:K72)</f>
        <v>3750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6"/>
        <v>0</v>
      </c>
      <c r="T73" s="68">
        <f t="shared" si="18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6"/>
        <v>0</v>
      </c>
      <c r="T74" s="68">
        <f t="shared" si="18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6"/>
        <v>18000</v>
      </c>
      <c r="T75" s="68">
        <f t="shared" si="18"/>
        <v>7500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6"/>
        <v>81009.314399999974</v>
      </c>
      <c r="T76" s="68">
        <f t="shared" si="18"/>
        <v>33753.880999999994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6"/>
        <v>0</v>
      </c>
      <c r="T77" s="68">
        <f t="shared" si="18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6"/>
        <v>0</v>
      </c>
      <c r="T78" s="68">
        <f t="shared" si="18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6"/>
        <v>0</v>
      </c>
      <c r="T79" s="68">
        <f t="shared" si="18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6"/>
        <v>0</v>
      </c>
      <c r="T80" s="68">
        <f t="shared" si="18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6"/>
        <v>0</v>
      </c>
      <c r="T81" s="68">
        <f t="shared" si="18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6"/>
        <v>0</v>
      </c>
      <c r="T82" s="68">
        <f t="shared" si="18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6"/>
        <v>0</v>
      </c>
      <c r="T83" s="68">
        <f t="shared" si="18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6"/>
        <v>0</v>
      </c>
      <c r="T84" s="68">
        <f t="shared" si="18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6"/>
        <v>0</v>
      </c>
      <c r="T85" s="68">
        <f t="shared" si="18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6"/>
        <v>0</v>
      </c>
      <c r="T86" s="68">
        <f t="shared" si="18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7749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6"/>
        <v>30000</v>
      </c>
      <c r="T87" s="68">
        <f t="shared" si="18"/>
        <v>20000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6"/>
        <v>60000</v>
      </c>
      <c r="T88" s="68">
        <f t="shared" si="18"/>
        <v>25000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6"/>
        <v>0</v>
      </c>
      <c r="T89" s="68">
        <f t="shared" si="18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6"/>
        <v>0</v>
      </c>
      <c r="T90" s="68">
        <f t="shared" si="18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6"/>
        <v>66671.591</v>
      </c>
      <c r="T91" s="68">
        <f t="shared" si="18"/>
        <v>27779.829583333325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6"/>
        <v>0</v>
      </c>
      <c r="T92" s="68">
        <f t="shared" si="18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6"/>
        <v>40000</v>
      </c>
      <c r="T93" s="68">
        <f t="shared" si="18"/>
        <v>10000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6"/>
        <v>0</v>
      </c>
      <c r="T94" s="68">
        <f t="shared" si="18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6"/>
        <v>0</v>
      </c>
      <c r="T95" s="68">
        <f t="shared" si="18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6"/>
        <v>0</v>
      </c>
      <c r="T96" s="68">
        <f t="shared" si="18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6"/>
        <v>0</v>
      </c>
      <c r="T97" s="68">
        <f t="shared" si="18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6"/>
        <v>0</v>
      </c>
      <c r="T98" s="68">
        <f t="shared" si="18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6"/>
        <v>0</v>
      </c>
      <c r="T99" s="68">
        <f t="shared" si="18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6"/>
        <v>0</v>
      </c>
      <c r="T100" s="68">
        <f t="shared" si="18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6"/>
        <v>45663.237199999981</v>
      </c>
      <c r="T101" s="68">
        <f t="shared" si="18"/>
        <v>19026.34883333333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si="18"/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18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18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18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18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18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18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18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18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18"/>
        <v>23126.435500000003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18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18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18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18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18"/>
        <v>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18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18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18"/>
        <v>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18"/>
        <v>13000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18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18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18"/>
        <v>56973.025083333334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18"/>
        <v>28839.279000000002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18"/>
        <v>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18"/>
        <v>45000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18"/>
        <v>11000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18"/>
        <v>8903.5125000000007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18"/>
        <v>17023.499999999996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18"/>
        <v>13285.520833333332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18"/>
        <v>2029.6541666666667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18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30">SUM(F42:F132)</f>
        <v>2154731.838</v>
      </c>
      <c r="G133" s="70">
        <f t="shared" si="30"/>
        <v>100429.31983333334</v>
      </c>
      <c r="H133" s="70">
        <f t="shared" si="30"/>
        <v>100429.31983333334</v>
      </c>
      <c r="I133" s="70">
        <f t="shared" si="30"/>
        <v>137824.31983333337</v>
      </c>
      <c r="J133" s="70">
        <f t="shared" si="30"/>
        <v>108429.31983333334</v>
      </c>
      <c r="K133" s="70">
        <f t="shared" si="30"/>
        <v>200429.31983333334</v>
      </c>
      <c r="L133" s="70">
        <f t="shared" si="30"/>
        <v>198324.31983333334</v>
      </c>
      <c r="M133" s="70">
        <f t="shared" si="30"/>
        <v>110429.31983333334</v>
      </c>
      <c r="N133" s="70">
        <f t="shared" si="30"/>
        <v>100429.31983333334</v>
      </c>
      <c r="O133" s="70">
        <f t="shared" si="30"/>
        <v>177824.31983333334</v>
      </c>
      <c r="P133" s="70">
        <f t="shared" si="30"/>
        <v>637929.31983333325</v>
      </c>
      <c r="Q133" s="70">
        <f t="shared" si="30"/>
        <v>155429.31983333334</v>
      </c>
      <c r="R133" s="70">
        <f t="shared" si="30"/>
        <v>126824.31983333334</v>
      </c>
      <c r="S133" s="70">
        <f t="shared" si="30"/>
        <v>2154731.838</v>
      </c>
      <c r="T133" s="68">
        <f t="shared" si="18"/>
        <v>647541.59916666674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31">F38-F133</f>
        <v>268.16200000001118</v>
      </c>
      <c r="G134" s="71">
        <f t="shared" si="31"/>
        <v>-47929.319833333349</v>
      </c>
      <c r="H134" s="71">
        <f t="shared" si="31"/>
        <v>-37929.319833333349</v>
      </c>
      <c r="I134" s="71">
        <f t="shared" si="31"/>
        <v>-51824.319833333371</v>
      </c>
      <c r="J134" s="71">
        <f t="shared" si="31"/>
        <v>-55929.319833333349</v>
      </c>
      <c r="K134" s="71">
        <f t="shared" si="31"/>
        <v>-47929.319833333342</v>
      </c>
      <c r="L134" s="71">
        <f t="shared" si="31"/>
        <v>187675.68016666666</v>
      </c>
      <c r="M134" s="71">
        <f t="shared" si="31"/>
        <v>-51929.319833333349</v>
      </c>
      <c r="N134" s="71">
        <f t="shared" si="31"/>
        <v>-47929.319833333349</v>
      </c>
      <c r="O134" s="71">
        <f t="shared" si="31"/>
        <v>133175.68016666666</v>
      </c>
      <c r="P134" s="71">
        <f t="shared" si="31"/>
        <v>79570.680166666745</v>
      </c>
      <c r="Q134" s="71">
        <f t="shared" si="31"/>
        <v>-17929.319833333342</v>
      </c>
      <c r="R134" s="71">
        <f t="shared" si="31"/>
        <v>-40824.319833333342</v>
      </c>
      <c r="S134" s="71">
        <f t="shared" si="31"/>
        <v>268.16200000001118</v>
      </c>
      <c r="T134" s="68">
        <f t="shared" si="18"/>
        <v>-241541.59916666674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5">G124+G123+G111+G101+G91+G76+G65+G47</f>
        <v>53217.548999999992</v>
      </c>
      <c r="H136" s="56">
        <f t="shared" si="35"/>
        <v>53217.548999999992</v>
      </c>
      <c r="I136" s="56">
        <f t="shared" si="35"/>
        <v>53217.548999999992</v>
      </c>
      <c r="J136" s="56">
        <f t="shared" si="35"/>
        <v>53217.548999999992</v>
      </c>
      <c r="K136" s="56">
        <f t="shared" si="35"/>
        <v>53217.548999999992</v>
      </c>
      <c r="L136" s="56">
        <f t="shared" si="35"/>
        <v>53217.548999999992</v>
      </c>
      <c r="M136" s="56">
        <f t="shared" si="35"/>
        <v>53217.548999999992</v>
      </c>
      <c r="N136" s="56">
        <f t="shared" si="35"/>
        <v>53217.548999999992</v>
      </c>
      <c r="O136" s="56">
        <f t="shared" si="35"/>
        <v>103217.549</v>
      </c>
      <c r="P136" s="56">
        <f t="shared" si="35"/>
        <v>53217.548999999992</v>
      </c>
      <c r="Q136" s="56">
        <f t="shared" si="35"/>
        <v>53217.548999999992</v>
      </c>
      <c r="R136" s="56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K72"/>
  <sheetViews>
    <sheetView zoomScale="154" zoomScaleNormal="154" workbookViewId="0">
      <pane xSplit="6" ySplit="2" topLeftCell="G56" activePane="bottomRight" state="frozen"/>
      <selection pane="topRight" activeCell="G1" sqref="G1"/>
      <selection pane="bottomLeft" activeCell="A3" sqref="A3"/>
      <selection pane="bottomRight" activeCell="K2" sqref="K2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5" bestFit="1" customWidth="1"/>
    <col min="9" max="9" width="9.28515625" style="75" bestFit="1" customWidth="1"/>
    <col min="10" max="10" width="8.7109375" style="75" bestFit="1" customWidth="1"/>
    <col min="11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05"/>
      <c r="H1" s="105"/>
      <c r="I1" s="105"/>
      <c r="J1" s="105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04" t="s">
        <v>7845</v>
      </c>
      <c r="H2" s="104" t="s">
        <v>7844</v>
      </c>
      <c r="I2" s="104" t="s">
        <v>7739</v>
      </c>
      <c r="J2" s="104" t="s">
        <v>7738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83"/>
      <c r="H3" s="83"/>
      <c r="I3" s="83"/>
      <c r="J3" s="141"/>
    </row>
    <row r="4" spans="1:11" x14ac:dyDescent="0.25">
      <c r="A4" s="77"/>
      <c r="B4" s="77" t="s">
        <v>51</v>
      </c>
      <c r="C4" s="77"/>
      <c r="D4" s="77"/>
      <c r="E4" s="77"/>
      <c r="F4" s="77"/>
      <c r="G4" s="83"/>
      <c r="H4" s="83"/>
      <c r="I4" s="83"/>
      <c r="J4" s="141"/>
    </row>
    <row r="5" spans="1:11" x14ac:dyDescent="0.25">
      <c r="A5" s="77"/>
      <c r="B5" s="77"/>
      <c r="C5" s="77" t="s">
        <v>52</v>
      </c>
      <c r="D5" s="77"/>
      <c r="E5" s="77"/>
      <c r="F5" s="77"/>
      <c r="G5" s="83"/>
      <c r="H5" s="83"/>
      <c r="I5" s="83"/>
      <c r="J5" s="141"/>
    </row>
    <row r="6" spans="1:11" x14ac:dyDescent="0.25">
      <c r="A6" s="77"/>
      <c r="B6" s="77"/>
      <c r="C6" s="77"/>
      <c r="D6" s="77" t="s">
        <v>68</v>
      </c>
      <c r="E6" s="77"/>
      <c r="F6" s="77"/>
      <c r="G6" s="51">
        <v>2600.5100000000002</v>
      </c>
      <c r="H6" s="51">
        <v>2385.64</v>
      </c>
      <c r="I6" s="51">
        <f>ROUND((G6-H6),5)</f>
        <v>214.87</v>
      </c>
      <c r="J6" s="141">
        <f>ROUND(IF('US Balance Sheet Year over Year'!G6=0, IF('US Balance Sheet Year over Year'!H6=0, 0, SIGN(-'US Balance Sheet Year over Year'!H6)), IF('US Balance Sheet Year over Year'!H6=0, SIGN('US Balance Sheet Year over Year'!G6), ('US Balance Sheet Year over Year'!G6-'US Balance Sheet Year over Year'!H6)/ABS('US Balance Sheet Year over Year'!H6))),5)</f>
        <v>9.0069999999999997E-2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51">
        <v>12395.18</v>
      </c>
      <c r="H7" s="51">
        <v>9160</v>
      </c>
      <c r="I7" s="51">
        <f>ROUND((G7-H7),5)</f>
        <v>3235.18</v>
      </c>
      <c r="J7" s="141">
        <f>ROUND(IF('US Balance Sheet Year over Year'!G7=0, IF('US Balance Sheet Year over Year'!H7=0, 0, SIGN(-'US Balance Sheet Year over Year'!H7)), IF('US Balance Sheet Year over Year'!H7=0, SIGN('US Balance Sheet Year over Year'!G7), ('US Balance Sheet Year over Year'!G7-'US Balance Sheet Year over Year'!H7)/ABS('US Balance Sheet Year over Year'!H7))),5)</f>
        <v>0.35319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51">
        <v>10907.74</v>
      </c>
      <c r="H8" s="51">
        <v>10905.52</v>
      </c>
      <c r="I8" s="51">
        <f>ROUND((G8-H8),5)</f>
        <v>2.2200000000000002</v>
      </c>
      <c r="J8" s="141">
        <f>ROUND(IF('US Balance Sheet Year over Year'!G8=0, IF('US Balance Sheet Year over Year'!H8=0, 0, SIGN(-'US Balance Sheet Year over Year'!H8)), IF('US Balance Sheet Year over Year'!H8=0, SIGN('US Balance Sheet Year over Year'!G8), ('US Balance Sheet Year over Year'!G8-'US Balance Sheet Year over Year'!H8)/ABS('US Balance Sheet Year over Year'!H8))),5)</f>
        <v>2.0000000000000001E-4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52">
        <v>1603688.45</v>
      </c>
      <c r="H9" s="52">
        <v>959036.01</v>
      </c>
      <c r="I9" s="52">
        <f>ROUND((G9-H9),5)</f>
        <v>644652.43999999994</v>
      </c>
      <c r="J9" s="143">
        <f>ROUND(IF('US Balance Sheet Year over Year'!G9=0, IF('US Balance Sheet Year over Year'!H9=0, 0, SIGN(-'US Balance Sheet Year over Year'!H9)), IF('US Balance Sheet Year over Year'!H9=0, SIGN('US Balance Sheet Year over Year'!G9), ('US Balance Sheet Year over Year'!G9-'US Balance Sheet Year over Year'!H9)/ABS('US Balance Sheet Year over Year'!H9))),5)</f>
        <v>0.67218999999999995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51">
        <f>ROUND(SUM(G5:G9),5)</f>
        <v>1629591.88</v>
      </c>
      <c r="H10" s="51">
        <f>ROUND(SUM(H5:H9),5)</f>
        <v>981487.17</v>
      </c>
      <c r="I10" s="51">
        <f>ROUND((G10-H10),5)</f>
        <v>648104.71</v>
      </c>
      <c r="J10" s="141">
        <f>ROUND(IF('US Balance Sheet Year over Year'!G10=0, IF('US Balance Sheet Year over Year'!H10=0, 0, SIGN(-'US Balance Sheet Year over Year'!H10)), IF('US Balance Sheet Year over Year'!H10=0, SIGN('US Balance Sheet Year over Year'!G10), ('US Balance Sheet Year over Year'!G10-'US Balance Sheet Year over Year'!H10)/ABS('US Balance Sheet Year over Year'!H10))),5)</f>
        <v>0.66032999999999997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51"/>
      <c r="H11" s="51"/>
      <c r="I11" s="51"/>
      <c r="J11" s="141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52">
        <v>200438.05</v>
      </c>
      <c r="H12" s="52">
        <v>128968.73</v>
      </c>
      <c r="I12" s="52">
        <f>ROUND((G12-H12),5)</f>
        <v>71469.320000000007</v>
      </c>
      <c r="J12" s="143">
        <f>ROUND(IF('US Balance Sheet Year over Year'!G12=0, IF('US Balance Sheet Year over Year'!H12=0, 0, SIGN(-'US Balance Sheet Year over Year'!H12)), IF('US Balance Sheet Year over Year'!H12=0, SIGN('US Balance Sheet Year over Year'!G12), ('US Balance Sheet Year over Year'!G12-'US Balance Sheet Year over Year'!H12)/ABS('US Balance Sheet Year over Year'!H12))),5)</f>
        <v>0.55415999999999999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51">
        <f>ROUND(SUM(G11:G12),5)</f>
        <v>200438.05</v>
      </c>
      <c r="H13" s="51">
        <f>ROUND(SUM(H11:H12),5)</f>
        <v>128968.73</v>
      </c>
      <c r="I13" s="51">
        <f>ROUND((G13-H13),5)</f>
        <v>71469.320000000007</v>
      </c>
      <c r="J13" s="141">
        <f>ROUND(IF('US Balance Sheet Year over Year'!G13=0, IF('US Balance Sheet Year over Year'!H13=0, 0, SIGN(-'US Balance Sheet Year over Year'!H13)), IF('US Balance Sheet Year over Year'!H13=0, SIGN('US Balance Sheet Year over Year'!G13), ('US Balance Sheet Year over Year'!G13-'US Balance Sheet Year over Year'!H13)/ABS('US Balance Sheet Year over Year'!H13))),5)</f>
        <v>0.55415999999999999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51"/>
      <c r="H14" s="51"/>
      <c r="I14" s="51"/>
      <c r="J14" s="141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51">
        <v>0</v>
      </c>
      <c r="H15" s="51">
        <v>58283.38</v>
      </c>
      <c r="I15" s="51">
        <f>ROUND((G15-H15),5)</f>
        <v>-58283.38</v>
      </c>
      <c r="J15" s="141">
        <f>ROUND(IF('US Balance Sheet Year over Year'!G15=0, IF('US Balance Sheet Year over Year'!H15=0, 0, SIGN(-'US Balance Sheet Year over Year'!H15)), IF('US Balance Sheet Year over Year'!H15=0, SIGN('US Balance Sheet Year over Year'!G15), ('US Balance Sheet Year over Year'!G15-'US Balance Sheet Year over Year'!H15)/ABS('US Balance Sheet Year over Year'!H15))),5)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54">
        <f>ROUND(SUM(G14:G15),5)</f>
        <v>0</v>
      </c>
      <c r="H16" s="54">
        <f>ROUND(SUM(H14:H15),5)</f>
        <v>58283.38</v>
      </c>
      <c r="I16" s="54">
        <f>ROUND((G16-H16),5)</f>
        <v>-58283.38</v>
      </c>
      <c r="J16" s="142">
        <f>ROUND(IF('US Balance Sheet Year over Year'!G16=0, IF('US Balance Sheet Year over Year'!H16=0, 0, SIGN(-'US Balance Sheet Year over Year'!H16)), IF('US Balance Sheet Year over Year'!H16=0, SIGN('US Balance Sheet Year over Year'!G16), ('US Balance Sheet Year over Year'!G16-'US Balance Sheet Year over Year'!H16)/ABS('US Balance Sheet Year over Year'!H16))),5)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51">
        <f>ROUND(G4+G10+G13+G16,5)</f>
        <v>1830029.93</v>
      </c>
      <c r="H17" s="51">
        <f>ROUND(H4+H10+H13+H16,5)</f>
        <v>1168739.28</v>
      </c>
      <c r="I17" s="51">
        <f>ROUND((G17-H17),5)</f>
        <v>661290.65</v>
      </c>
      <c r="J17" s="141">
        <f>ROUND(IF('US Balance Sheet Year over Year'!G17=0, IF('US Balance Sheet Year over Year'!H17=0, 0, SIGN(-'US Balance Sheet Year over Year'!H17)), IF('US Balance Sheet Year over Year'!H17=0, SIGN('US Balance Sheet Year over Year'!G17), ('US Balance Sheet Year over Year'!G17-'US Balance Sheet Year over Year'!H17)/ABS('US Balance Sheet Year over Year'!H17))),5)</f>
        <v>0.56581999999999999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51"/>
      <c r="H18" s="51"/>
      <c r="I18" s="51"/>
      <c r="J18" s="141"/>
    </row>
    <row r="19" spans="1:10" x14ac:dyDescent="0.25">
      <c r="A19" s="77"/>
      <c r="B19" s="77"/>
      <c r="C19" s="77" t="s">
        <v>76</v>
      </c>
      <c r="D19" s="77"/>
      <c r="E19" s="77"/>
      <c r="F19" s="77"/>
      <c r="G19" s="51"/>
      <c r="H19" s="51"/>
      <c r="I19" s="51"/>
      <c r="J19" s="141"/>
    </row>
    <row r="20" spans="1:10" x14ac:dyDescent="0.25">
      <c r="A20" s="77"/>
      <c r="B20" s="77"/>
      <c r="C20" s="77"/>
      <c r="D20" s="77" t="s">
        <v>77</v>
      </c>
      <c r="E20" s="77"/>
      <c r="F20" s="77"/>
      <c r="G20" s="51">
        <v>-45454.86</v>
      </c>
      <c r="H20" s="51">
        <v>-40862.980000000003</v>
      </c>
      <c r="I20" s="51">
        <f>ROUND((G20-H20),5)</f>
        <v>-4591.88</v>
      </c>
      <c r="J20" s="141">
        <f>ROUND(IF('US Balance Sheet Year over Year'!G20=0, IF('US Balance Sheet Year over Year'!H20=0, 0, SIGN(-'US Balance Sheet Year over Year'!H20)), IF('US Balance Sheet Year over Year'!H20=0, SIGN('US Balance Sheet Year over Year'!G20), ('US Balance Sheet Year over Year'!G20-'US Balance Sheet Year over Year'!H20)/ABS('US Balance Sheet Year over Year'!H20))),5)</f>
        <v>-0.11237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52">
        <v>45454.86</v>
      </c>
      <c r="H21" s="52">
        <v>45454.86</v>
      </c>
      <c r="I21" s="52">
        <f>ROUND((G21-H21),5)</f>
        <v>0</v>
      </c>
      <c r="J21" s="143">
        <f>ROUND(IF('US Balance Sheet Year over Year'!G21=0, IF('US Balance Sheet Year over Year'!H21=0, 0, SIGN(-'US Balance Sheet Year over Year'!H21)), IF('US Balance Sheet Year over Year'!H21=0, SIGN('US Balance Sheet Year over Year'!G21), ('US Balance Sheet Year over Year'!G21-'US Balance Sheet Year over Year'!H21)/ABS('US Balance Sheet Year over Year'!H21))),5)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51">
        <f>ROUND(SUM(G19:G21),5)</f>
        <v>0</v>
      </c>
      <c r="H22" s="51">
        <f>ROUND(SUM(H19:H21),5)</f>
        <v>4591.88</v>
      </c>
      <c r="I22" s="51">
        <f>ROUND((G22-H22),5)</f>
        <v>-4591.88</v>
      </c>
      <c r="J22" s="141">
        <f>ROUND(IF('US Balance Sheet Year over Year'!G22=0, IF('US Balance Sheet Year over Year'!H22=0, 0, SIGN(-'US Balance Sheet Year over Year'!H22)), IF('US Balance Sheet Year over Year'!H22=0, SIGN('US Balance Sheet Year over Year'!G22), ('US Balance Sheet Year over Year'!G22-'US Balance Sheet Year over Year'!H22)/ABS('US Balance Sheet Year over Year'!H22))),5)</f>
        <v>-1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51"/>
      <c r="H23" s="51"/>
      <c r="I23" s="51"/>
      <c r="J23" s="141"/>
    </row>
    <row r="24" spans="1:10" x14ac:dyDescent="0.25">
      <c r="A24" s="77"/>
      <c r="B24" s="77"/>
      <c r="C24" s="77"/>
      <c r="D24" s="77" t="s">
        <v>81</v>
      </c>
      <c r="E24" s="77"/>
      <c r="F24" s="77"/>
      <c r="G24" s="51">
        <v>-30000</v>
      </c>
      <c r="H24" s="51">
        <v>-30000</v>
      </c>
      <c r="I24" s="51">
        <f>ROUND((G24-H24),5)</f>
        <v>0</v>
      </c>
      <c r="J24" s="141">
        <f>ROUND(IF('US Balance Sheet Year over Year'!G24=0, IF('US Balance Sheet Year over Year'!H24=0, 0, SIGN(-'US Balance Sheet Year over Year'!H24)), IF('US Balance Sheet Year over Year'!H24=0, SIGN('US Balance Sheet Year over Year'!G24), ('US Balance Sheet Year over Year'!G24-'US Balance Sheet Year over Year'!H24)/ABS('US Balance Sheet Year over Year'!H24))),5)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51">
        <v>30000</v>
      </c>
      <c r="H25" s="51">
        <v>30000</v>
      </c>
      <c r="I25" s="51">
        <f>ROUND((G25-H25),5)</f>
        <v>0</v>
      </c>
      <c r="J25" s="141">
        <f>ROUND(IF('US Balance Sheet Year over Year'!G25=0, IF('US Balance Sheet Year over Year'!H25=0, 0, SIGN(-'US Balance Sheet Year over Year'!H25)), IF('US Balance Sheet Year over Year'!H25=0, SIGN('US Balance Sheet Year over Year'!G25), ('US Balance Sheet Year over Year'!G25-'US Balance Sheet Year over Year'!H25)/ABS('US Balance Sheet Year over Year'!H25))),5)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42">
        <f>ROUND(IF('US Balance Sheet Year over Year'!G26=0, IF('US Balance Sheet Year over Year'!H26=0, 0, SIGN(-'US Balance Sheet Year over Year'!H26)), IF('US Balance Sheet Year over Year'!H26=0, SIGN('US Balance Sheet Year over Year'!G26), ('US Balance Sheet Year over Year'!G26-'US Balance Sheet Year over Year'!H26)/ABS('US Balance Sheet Year over Year'!H26))),5)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51">
        <f>ROUND(G18+G22+G26,5)</f>
        <v>0</v>
      </c>
      <c r="H27" s="51">
        <f>ROUND(H18+H22+H26,5)</f>
        <v>4591.88</v>
      </c>
      <c r="I27" s="51">
        <f>ROUND((G27-H27),5)</f>
        <v>-4591.88</v>
      </c>
      <c r="J27" s="141">
        <f>ROUND(IF('US Balance Sheet Year over Year'!G27=0, IF('US Balance Sheet Year over Year'!H27=0, 0, SIGN(-'US Balance Sheet Year over Year'!H27)), IF('US Balance Sheet Year over Year'!H27=0, SIGN('US Balance Sheet Year over Year'!G27), ('US Balance Sheet Year over Year'!G27-'US Balance Sheet Year over Year'!H27)/ABS('US Balance Sheet Year over Year'!H27))),5)</f>
        <v>-1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51"/>
      <c r="H28" s="51"/>
      <c r="I28" s="51"/>
      <c r="J28" s="141"/>
    </row>
    <row r="29" spans="1:10" x14ac:dyDescent="0.25">
      <c r="A29" s="77"/>
      <c r="B29" s="77"/>
      <c r="C29" s="77" t="s">
        <v>85</v>
      </c>
      <c r="D29" s="77"/>
      <c r="E29" s="77"/>
      <c r="F29" s="77"/>
      <c r="G29" s="51">
        <v>0</v>
      </c>
      <c r="H29" s="51">
        <v>36147.800000000003</v>
      </c>
      <c r="I29" s="51">
        <f>ROUND((G29-H29),5)</f>
        <v>-36147.800000000003</v>
      </c>
      <c r="J29" s="141">
        <f>ROUND(IF('US Balance Sheet Year over Year'!G29=0, IF('US Balance Sheet Year over Year'!H29=0, 0, SIGN(-'US Balance Sheet Year over Year'!H29)), IF('US Balance Sheet Year over Year'!H29=0, SIGN('US Balance Sheet Year over Year'!G29), ('US Balance Sheet Year over Year'!G29-'US Balance Sheet Year over Year'!H29)/ABS('US Balance Sheet Year over Year'!H29))),5)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51"/>
      <c r="H30" s="51"/>
      <c r="I30" s="51"/>
      <c r="J30" s="141"/>
    </row>
    <row r="31" spans="1:10" x14ac:dyDescent="0.25">
      <c r="A31" s="77"/>
      <c r="B31" s="77"/>
      <c r="C31" s="77"/>
      <c r="D31" s="77" t="s">
        <v>7820</v>
      </c>
      <c r="E31" s="77"/>
      <c r="F31" s="77"/>
      <c r="G31" s="51">
        <v>7048</v>
      </c>
      <c r="H31" s="51">
        <v>0</v>
      </c>
      <c r="I31" s="51">
        <f t="shared" ref="I31:I40" si="0">ROUND((G31-H31),5)</f>
        <v>7048</v>
      </c>
      <c r="J31" s="141">
        <f>ROUND(IF('US Balance Sheet Year over Year'!G31=0, IF('US Balance Sheet Year over Year'!H31=0, 0, SIGN(-'US Balance Sheet Year over Year'!H31)), IF('US Balance Sheet Year over Year'!H31=0, SIGN('US Balance Sheet Year over Year'!G31), ('US Balance Sheet Year over Year'!G31-'US Balance Sheet Year over Year'!H31)/ABS('US Balance Sheet Year over Year'!H31))),5)</f>
        <v>1</v>
      </c>
    </row>
    <row r="32" spans="1:10" x14ac:dyDescent="0.25">
      <c r="A32" s="77"/>
      <c r="B32" s="77"/>
      <c r="C32" s="77"/>
      <c r="D32" s="77" t="s">
        <v>87</v>
      </c>
      <c r="E32" s="77"/>
      <c r="F32" s="77"/>
      <c r="G32" s="51">
        <v>57122.86</v>
      </c>
      <c r="H32" s="51">
        <v>24073.09</v>
      </c>
      <c r="I32" s="51">
        <f t="shared" si="0"/>
        <v>33049.769999999997</v>
      </c>
      <c r="J32" s="141">
        <f>ROUND(IF('US Balance Sheet Year over Year'!G32=0, IF('US Balance Sheet Year over Year'!H32=0, 0, SIGN(-'US Balance Sheet Year over Year'!H32)), IF('US Balance Sheet Year over Year'!H32=0, SIGN('US Balance Sheet Year over Year'!G32), ('US Balance Sheet Year over Year'!G32-'US Balance Sheet Year over Year'!H32)/ABS('US Balance Sheet Year over Year'!H32))),5)</f>
        <v>1.3728899999999999</v>
      </c>
    </row>
    <row r="33" spans="1:10" x14ac:dyDescent="0.25">
      <c r="A33" s="77"/>
      <c r="B33" s="77"/>
      <c r="C33" s="77"/>
      <c r="D33" s="77" t="s">
        <v>7812</v>
      </c>
      <c r="E33" s="77"/>
      <c r="F33" s="77"/>
      <c r="G33" s="51">
        <v>0</v>
      </c>
      <c r="H33" s="51">
        <v>963.4</v>
      </c>
      <c r="I33" s="51">
        <f t="shared" si="0"/>
        <v>-963.4</v>
      </c>
      <c r="J33" s="141">
        <f>ROUND(IF('US Balance Sheet Year over Year'!G33=0, IF('US Balance Sheet Year over Year'!H33=0, 0, SIGN(-'US Balance Sheet Year over Year'!H33)), IF('US Balance Sheet Year over Year'!H33=0, SIGN('US Balance Sheet Year over Year'!G33), ('US Balance Sheet Year over Year'!G33-'US Balance Sheet Year over Year'!H33)/ABS('US Balance Sheet Year over Year'!H33))),5)</f>
        <v>-1</v>
      </c>
    </row>
    <row r="34" spans="1:10" x14ac:dyDescent="0.25">
      <c r="A34" s="77"/>
      <c r="B34" s="77"/>
      <c r="C34" s="77"/>
      <c r="D34" s="77" t="s">
        <v>7717</v>
      </c>
      <c r="E34" s="77"/>
      <c r="F34" s="77"/>
      <c r="G34" s="51">
        <v>10275</v>
      </c>
      <c r="H34" s="51">
        <v>0</v>
      </c>
      <c r="I34" s="51">
        <f t="shared" si="0"/>
        <v>10275</v>
      </c>
      <c r="J34" s="141">
        <f>ROUND(IF('US Balance Sheet Year over Year'!G34=0, IF('US Balance Sheet Year over Year'!H34=0, 0, SIGN(-'US Balance Sheet Year over Year'!H34)), IF('US Balance Sheet Year over Year'!H34=0, SIGN('US Balance Sheet Year over Year'!G34), ('US Balance Sheet Year over Year'!G34-'US Balance Sheet Year over Year'!H34)/ABS('US Balance Sheet Year over Year'!H34))),5)</f>
        <v>1</v>
      </c>
    </row>
    <row r="35" spans="1:10" x14ac:dyDescent="0.25">
      <c r="A35" s="77"/>
      <c r="B35" s="77"/>
      <c r="C35" s="77"/>
      <c r="D35" s="77" t="s">
        <v>88</v>
      </c>
      <c r="E35" s="77"/>
      <c r="F35" s="77"/>
      <c r="G35" s="51">
        <v>6000</v>
      </c>
      <c r="H35" s="51">
        <v>11634.63</v>
      </c>
      <c r="I35" s="51">
        <f t="shared" si="0"/>
        <v>-5634.63</v>
      </c>
      <c r="J35" s="141">
        <f>ROUND(IF('US Balance Sheet Year over Year'!G35=0, IF('US Balance Sheet Year over Year'!H35=0, 0, SIGN(-'US Balance Sheet Year over Year'!H35)), IF('US Balance Sheet Year over Year'!H35=0, SIGN('US Balance Sheet Year over Year'!G35), ('US Balance Sheet Year over Year'!G35-'US Balance Sheet Year over Year'!H35)/ABS('US Balance Sheet Year over Year'!H35))),5)</f>
        <v>-0.48430000000000001</v>
      </c>
    </row>
    <row r="36" spans="1:10" x14ac:dyDescent="0.25">
      <c r="A36" s="77"/>
      <c r="B36" s="77"/>
      <c r="C36" s="77"/>
      <c r="D36" s="77" t="s">
        <v>95</v>
      </c>
      <c r="E36" s="77"/>
      <c r="F36" s="77"/>
      <c r="G36" s="51">
        <v>21048</v>
      </c>
      <c r="H36" s="51">
        <v>0</v>
      </c>
      <c r="I36" s="51">
        <f t="shared" si="0"/>
        <v>21048</v>
      </c>
      <c r="J36" s="141">
        <f>ROUND(IF('US Balance Sheet Year over Year'!G36=0, IF('US Balance Sheet Year over Year'!H36=0, 0, SIGN(-'US Balance Sheet Year over Year'!H36)), IF('US Balance Sheet Year over Year'!H36=0, SIGN('US Balance Sheet Year over Year'!G36), ('US Balance Sheet Year over Year'!G36-'US Balance Sheet Year over Year'!H36)/ABS('US Balance Sheet Year over Year'!H36))),5)</f>
        <v>1</v>
      </c>
    </row>
    <row r="37" spans="1:10" ht="15.75" thickBot="1" x14ac:dyDescent="0.3">
      <c r="A37" s="77"/>
      <c r="B37" s="77"/>
      <c r="C37" s="77"/>
      <c r="D37" s="77" t="s">
        <v>89</v>
      </c>
      <c r="E37" s="77"/>
      <c r="F37" s="77"/>
      <c r="G37" s="51">
        <v>38776.58</v>
      </c>
      <c r="H37" s="51">
        <v>20559.59</v>
      </c>
      <c r="I37" s="51">
        <f t="shared" si="0"/>
        <v>18216.990000000002</v>
      </c>
      <c r="J37" s="141">
        <f>ROUND(IF('US Balance Sheet Year over Year'!G37=0, IF('US Balance Sheet Year over Year'!H37=0, 0, SIGN(-'US Balance Sheet Year over Year'!H37)), IF('US Balance Sheet Year over Year'!H37=0, SIGN('US Balance Sheet Year over Year'!G37), ('US Balance Sheet Year over Year'!G37-'US Balance Sheet Year over Year'!H37)/ABS('US Balance Sheet Year over Year'!H37))),5)</f>
        <v>0.88605999999999996</v>
      </c>
    </row>
    <row r="38" spans="1:10" ht="15.75" thickBot="1" x14ac:dyDescent="0.3">
      <c r="A38" s="77"/>
      <c r="B38" s="77"/>
      <c r="C38" s="77" t="s">
        <v>90</v>
      </c>
      <c r="D38" s="77"/>
      <c r="E38" s="77"/>
      <c r="F38" s="77"/>
      <c r="G38" s="89">
        <f>ROUND(SUM(G30:G37),5)</f>
        <v>140270.44</v>
      </c>
      <c r="H38" s="89">
        <f>ROUND(SUM(H30:H37),5)</f>
        <v>57230.71</v>
      </c>
      <c r="I38" s="89">
        <f t="shared" si="0"/>
        <v>83039.73</v>
      </c>
      <c r="J38" s="140">
        <f>ROUND(IF('US Balance Sheet Year over Year'!G38=0, IF('US Balance Sheet Year over Year'!H38=0, 0, SIGN(-'US Balance Sheet Year over Year'!H38)), IF('US Balance Sheet Year over Year'!H38=0, SIGN('US Balance Sheet Year over Year'!G38), ('US Balance Sheet Year over Year'!G38-'US Balance Sheet Year over Year'!H38)/ABS('US Balance Sheet Year over Year'!H38))),5)</f>
        <v>1.45096</v>
      </c>
    </row>
    <row r="39" spans="1:10" ht="15.75" thickBot="1" x14ac:dyDescent="0.3">
      <c r="A39" s="77"/>
      <c r="B39" s="77" t="s">
        <v>91</v>
      </c>
      <c r="C39" s="77"/>
      <c r="D39" s="77"/>
      <c r="E39" s="77"/>
      <c r="F39" s="77"/>
      <c r="G39" s="89">
        <f>ROUND(SUM(G28:G29)+G38,5)</f>
        <v>140270.44</v>
      </c>
      <c r="H39" s="89">
        <f>ROUND(SUM(H28:H29)+H38,5)</f>
        <v>93378.51</v>
      </c>
      <c r="I39" s="89">
        <f t="shared" si="0"/>
        <v>46891.93</v>
      </c>
      <c r="J39" s="140">
        <f>ROUND(IF('US Balance Sheet Year over Year'!G39=0, IF('US Balance Sheet Year over Year'!H39=0, 0, SIGN(-'US Balance Sheet Year over Year'!H39)), IF('US Balance Sheet Year over Year'!H39=0, SIGN('US Balance Sheet Year over Year'!G39), ('US Balance Sheet Year over Year'!G39-'US Balance Sheet Year over Year'!H39)/ABS('US Balance Sheet Year over Year'!H39))),5)</f>
        <v>0.50217000000000001</v>
      </c>
    </row>
    <row r="40" spans="1:10" s="2" customFormat="1" ht="12" thickBot="1" x14ac:dyDescent="0.25">
      <c r="A40" s="77" t="s">
        <v>58</v>
      </c>
      <c r="B40" s="77"/>
      <c r="C40" s="77"/>
      <c r="D40" s="77"/>
      <c r="E40" s="77"/>
      <c r="F40" s="77"/>
      <c r="G40" s="55">
        <f>ROUND(G3+G17+G27+G39,5)</f>
        <v>1970300.37</v>
      </c>
      <c r="H40" s="55">
        <f>ROUND(H3+H17+H27+H39,5)</f>
        <v>1266709.67</v>
      </c>
      <c r="I40" s="55">
        <f t="shared" si="0"/>
        <v>703590.7</v>
      </c>
      <c r="J40" s="139">
        <f>ROUND(IF('US Balance Sheet Year over Year'!G40=0, IF('US Balance Sheet Year over Year'!H40=0, 0, SIGN(-'US Balance Sheet Year over Year'!H40)), IF('US Balance Sheet Year over Year'!H40=0, SIGN('US Balance Sheet Year over Year'!G40), ('US Balance Sheet Year over Year'!G40-'US Balance Sheet Year over Year'!H40)/ABS('US Balance Sheet Year over Year'!H40))),5)</f>
        <v>0.55545</v>
      </c>
    </row>
    <row r="41" spans="1:10" ht="15.75" thickTop="1" x14ac:dyDescent="0.25">
      <c r="A41" s="77" t="s">
        <v>59</v>
      </c>
      <c r="B41" s="77"/>
      <c r="C41" s="77"/>
      <c r="D41" s="77"/>
      <c r="E41" s="77"/>
      <c r="F41" s="77"/>
      <c r="G41" s="51"/>
      <c r="H41" s="51"/>
      <c r="I41" s="51"/>
      <c r="J41" s="141"/>
    </row>
    <row r="42" spans="1:10" x14ac:dyDescent="0.25">
      <c r="A42" s="77"/>
      <c r="B42" s="77" t="s">
        <v>60</v>
      </c>
      <c r="C42" s="77"/>
      <c r="D42" s="77"/>
      <c r="E42" s="77"/>
      <c r="F42" s="77"/>
      <c r="G42" s="51"/>
      <c r="H42" s="51"/>
      <c r="I42" s="51"/>
      <c r="J42" s="141"/>
    </row>
    <row r="43" spans="1:10" x14ac:dyDescent="0.25">
      <c r="A43" s="77"/>
      <c r="B43" s="77"/>
      <c r="C43" s="77" t="s">
        <v>61</v>
      </c>
      <c r="D43" s="77"/>
      <c r="E43" s="77"/>
      <c r="F43" s="77"/>
      <c r="G43" s="51"/>
      <c r="H43" s="51"/>
      <c r="I43" s="51"/>
      <c r="J43" s="141"/>
    </row>
    <row r="44" spans="1:10" x14ac:dyDescent="0.25">
      <c r="A44" s="77"/>
      <c r="B44" s="77"/>
      <c r="C44" s="77"/>
      <c r="D44" s="77" t="s">
        <v>62</v>
      </c>
      <c r="E44" s="77"/>
      <c r="F44" s="77"/>
      <c r="G44" s="51"/>
      <c r="H44" s="51"/>
      <c r="I44" s="51"/>
      <c r="J44" s="141"/>
    </row>
    <row r="45" spans="1:10" ht="15.75" thickBot="1" x14ac:dyDescent="0.3">
      <c r="A45" s="77"/>
      <c r="B45" s="77"/>
      <c r="C45" s="77"/>
      <c r="D45" s="77"/>
      <c r="E45" s="77" t="s">
        <v>62</v>
      </c>
      <c r="F45" s="77"/>
      <c r="G45" s="52">
        <v>64617.22</v>
      </c>
      <c r="H45" s="52">
        <v>35639.370000000003</v>
      </c>
      <c r="I45" s="52">
        <f>ROUND((G45-H45),5)</f>
        <v>28977.85</v>
      </c>
      <c r="J45" s="143">
        <f>ROUND(IF('US Balance Sheet Year over Year'!G45=0, IF('US Balance Sheet Year over Year'!H45=0, 0, SIGN(-'US Balance Sheet Year over Year'!H45)), IF('US Balance Sheet Year over Year'!H45=0, SIGN('US Balance Sheet Year over Year'!G45), ('US Balance Sheet Year over Year'!G45-'US Balance Sheet Year over Year'!H45)/ABS('US Balance Sheet Year over Year'!H45))),5)</f>
        <v>0.81308999999999998</v>
      </c>
    </row>
    <row r="46" spans="1:10" x14ac:dyDescent="0.25">
      <c r="A46" s="77"/>
      <c r="B46" s="77"/>
      <c r="C46" s="77"/>
      <c r="D46" s="77" t="s">
        <v>92</v>
      </c>
      <c r="E46" s="77"/>
      <c r="F46" s="77"/>
      <c r="G46" s="51">
        <f>ROUND(SUM(G44:G45),5)</f>
        <v>64617.22</v>
      </c>
      <c r="H46" s="51">
        <f>ROUND(SUM(H44:H45),5)</f>
        <v>35639.370000000003</v>
      </c>
      <c r="I46" s="51">
        <f>ROUND((G46-H46),5)</f>
        <v>28977.85</v>
      </c>
      <c r="J46" s="141">
        <f>ROUND(IF('US Balance Sheet Year over Year'!G46=0, IF('US Balance Sheet Year over Year'!H46=0, 0, SIGN(-'US Balance Sheet Year over Year'!H46)), IF('US Balance Sheet Year over Year'!H46=0, SIGN('US Balance Sheet Year over Year'!G46), ('US Balance Sheet Year over Year'!G46-'US Balance Sheet Year over Year'!H46)/ABS('US Balance Sheet Year over Year'!H46))),5)</f>
        <v>0.81308999999999998</v>
      </c>
    </row>
    <row r="47" spans="1:10" x14ac:dyDescent="0.25">
      <c r="A47" s="77"/>
      <c r="B47" s="77"/>
      <c r="C47" s="77"/>
      <c r="D47" s="77" t="s">
        <v>63</v>
      </c>
      <c r="E47" s="77"/>
      <c r="F47" s="77"/>
      <c r="G47" s="51"/>
      <c r="H47" s="51"/>
      <c r="I47" s="51"/>
      <c r="J47" s="141"/>
    </row>
    <row r="48" spans="1:10" x14ac:dyDescent="0.25">
      <c r="A48" s="77"/>
      <c r="B48" s="77"/>
      <c r="C48" s="77"/>
      <c r="D48" s="77"/>
      <c r="E48" s="77" t="s">
        <v>7730</v>
      </c>
      <c r="F48" s="77"/>
      <c r="G48" s="51">
        <v>0</v>
      </c>
      <c r="H48" s="51">
        <v>112700</v>
      </c>
      <c r="I48" s="51">
        <f>ROUND((G48-H48),5)</f>
        <v>-112700</v>
      </c>
      <c r="J48" s="141">
        <f>ROUND(IF('US Balance Sheet Year over Year'!G48=0, IF('US Balance Sheet Year over Year'!H48=0, 0, SIGN(-'US Balance Sheet Year over Year'!H48)), IF('US Balance Sheet Year over Year'!H48=0, SIGN('US Balance Sheet Year over Year'!G48), ('US Balance Sheet Year over Year'!G48-'US Balance Sheet Year over Year'!H48)/ABS('US Balance Sheet Year over Year'!H48))),5)</f>
        <v>-1</v>
      </c>
    </row>
    <row r="49" spans="1:10" x14ac:dyDescent="0.25">
      <c r="A49" s="77"/>
      <c r="B49" s="77"/>
      <c r="C49" s="77"/>
      <c r="D49" s="77"/>
      <c r="E49" s="77" t="s">
        <v>7809</v>
      </c>
      <c r="F49" s="77"/>
      <c r="G49" s="51">
        <v>5000</v>
      </c>
      <c r="H49" s="51">
        <v>0</v>
      </c>
      <c r="I49" s="51">
        <f>ROUND((G49-H49),5)</f>
        <v>5000</v>
      </c>
      <c r="J49" s="141">
        <f>ROUND(IF('US Balance Sheet Year over Year'!G49=0, IF('US Balance Sheet Year over Year'!H49=0, 0, SIGN(-'US Balance Sheet Year over Year'!H49)), IF('US Balance Sheet Year over Year'!H49=0, SIGN('US Balance Sheet Year over Year'!G49), ('US Balance Sheet Year over Year'!G49-'US Balance Sheet Year over Year'!H49)/ABS('US Balance Sheet Year over Year'!H49))),5)</f>
        <v>1</v>
      </c>
    </row>
    <row r="50" spans="1:10" x14ac:dyDescent="0.25">
      <c r="A50" s="77"/>
      <c r="B50" s="77"/>
      <c r="C50" s="77"/>
      <c r="D50" s="77"/>
      <c r="E50" s="77" t="s">
        <v>93</v>
      </c>
      <c r="F50" s="77"/>
      <c r="G50" s="51"/>
      <c r="H50" s="51"/>
      <c r="I50" s="51"/>
      <c r="J50" s="141"/>
    </row>
    <row r="51" spans="1:10" x14ac:dyDescent="0.25">
      <c r="A51" s="77"/>
      <c r="B51" s="77"/>
      <c r="C51" s="77"/>
      <c r="D51" s="77"/>
      <c r="E51" s="77"/>
      <c r="F51" s="77" t="s">
        <v>7829</v>
      </c>
      <c r="G51" s="51">
        <v>6300</v>
      </c>
      <c r="H51" s="51">
        <v>0</v>
      </c>
      <c r="I51" s="51">
        <f t="shared" ref="I51:I65" si="1">ROUND((G51-H51),5)</f>
        <v>6300</v>
      </c>
      <c r="J51" s="141">
        <f>ROUND(IF('US Balance Sheet Year over Year'!G51=0, IF('US Balance Sheet Year over Year'!H51=0, 0, SIGN(-'US Balance Sheet Year over Year'!H51)), IF('US Balance Sheet Year over Year'!H51=0, SIGN('US Balance Sheet Year over Year'!G51), ('US Balance Sheet Year over Year'!G51-'US Balance Sheet Year over Year'!H51)/ABS('US Balance Sheet Year over Year'!H51))),5)</f>
        <v>1</v>
      </c>
    </row>
    <row r="52" spans="1:10" x14ac:dyDescent="0.25">
      <c r="A52" s="77"/>
      <c r="B52" s="77"/>
      <c r="C52" s="77"/>
      <c r="D52" s="77"/>
      <c r="E52" s="77"/>
      <c r="F52" s="77" t="s">
        <v>7676</v>
      </c>
      <c r="G52" s="51">
        <v>384791.43</v>
      </c>
      <c r="H52" s="51">
        <v>0</v>
      </c>
      <c r="I52" s="51">
        <f t="shared" si="1"/>
        <v>384791.43</v>
      </c>
      <c r="J52" s="141">
        <f>ROUND(IF('US Balance Sheet Year over Year'!G52=0, IF('US Balance Sheet Year over Year'!H52=0, 0, SIGN(-'US Balance Sheet Year over Year'!H52)), IF('US Balance Sheet Year over Year'!H52=0, SIGN('US Balance Sheet Year over Year'!G52), ('US Balance Sheet Year over Year'!G52-'US Balance Sheet Year over Year'!H52)/ABS('US Balance Sheet Year over Year'!H52))),5)</f>
        <v>1</v>
      </c>
    </row>
    <row r="53" spans="1:10" x14ac:dyDescent="0.25">
      <c r="A53" s="77"/>
      <c r="B53" s="77"/>
      <c r="C53" s="77"/>
      <c r="D53" s="77"/>
      <c r="E53" s="77"/>
      <c r="F53" s="77" t="s">
        <v>7843</v>
      </c>
      <c r="G53" s="51">
        <v>0</v>
      </c>
      <c r="H53" s="51">
        <v>20000</v>
      </c>
      <c r="I53" s="51">
        <f t="shared" si="1"/>
        <v>-20000</v>
      </c>
      <c r="J53" s="141">
        <f>ROUND(IF('US Balance Sheet Year over Year'!G53=0, IF('US Balance Sheet Year over Year'!H53=0, 0, SIGN(-'US Balance Sheet Year over Year'!H53)), IF('US Balance Sheet Year over Year'!H53=0, SIGN('US Balance Sheet Year over Year'!G53), ('US Balance Sheet Year over Year'!G53-'US Balance Sheet Year over Year'!H53)/ABS('US Balance Sheet Year over Year'!H53))),5)</f>
        <v>-1</v>
      </c>
    </row>
    <row r="54" spans="1:10" x14ac:dyDescent="0.25">
      <c r="A54" s="77"/>
      <c r="B54" s="77"/>
      <c r="C54" s="77"/>
      <c r="D54" s="77"/>
      <c r="E54" s="77"/>
      <c r="F54" s="77" t="s">
        <v>7811</v>
      </c>
      <c r="G54" s="51">
        <v>0</v>
      </c>
      <c r="H54" s="51">
        <v>1350</v>
      </c>
      <c r="I54" s="51">
        <f t="shared" si="1"/>
        <v>-1350</v>
      </c>
      <c r="J54" s="141">
        <f>ROUND(IF('US Balance Sheet Year over Year'!G54=0, IF('US Balance Sheet Year over Year'!H54=0, 0, SIGN(-'US Balance Sheet Year over Year'!H54)), IF('US Balance Sheet Year over Year'!H54=0, SIGN('US Balance Sheet Year over Year'!G54), ('US Balance Sheet Year over Year'!G54-'US Balance Sheet Year over Year'!H54)/ABS('US Balance Sheet Year over Year'!H54))),5)</f>
        <v>-1</v>
      </c>
    </row>
    <row r="55" spans="1:10" x14ac:dyDescent="0.25">
      <c r="A55" s="77"/>
      <c r="B55" s="77"/>
      <c r="C55" s="77"/>
      <c r="D55" s="77"/>
      <c r="E55" s="77"/>
      <c r="F55" s="77" t="s">
        <v>7554</v>
      </c>
      <c r="G55" s="51">
        <v>52000</v>
      </c>
      <c r="H55" s="51">
        <v>0</v>
      </c>
      <c r="I55" s="51">
        <f t="shared" si="1"/>
        <v>52000</v>
      </c>
      <c r="J55" s="141">
        <f>ROUND(IF('US Balance Sheet Year over Year'!G55=0, IF('US Balance Sheet Year over Year'!H55=0, 0, SIGN(-'US Balance Sheet Year over Year'!H55)), IF('US Balance Sheet Year over Year'!H55=0, SIGN('US Balance Sheet Year over Year'!G55), ('US Balance Sheet Year over Year'!G55-'US Balance Sheet Year over Year'!H55)/ABS('US Balance Sheet Year over Year'!H55))),5)</f>
        <v>1</v>
      </c>
    </row>
    <row r="56" spans="1:10" x14ac:dyDescent="0.25">
      <c r="A56" s="77"/>
      <c r="B56" s="77"/>
      <c r="C56" s="77"/>
      <c r="D56" s="77"/>
      <c r="E56" s="77"/>
      <c r="F56" s="77" t="s">
        <v>7819</v>
      </c>
      <c r="G56" s="51">
        <v>0</v>
      </c>
      <c r="H56" s="51">
        <v>83000</v>
      </c>
      <c r="I56" s="51">
        <f t="shared" si="1"/>
        <v>-83000</v>
      </c>
      <c r="J56" s="141">
        <f>ROUND(IF('US Balance Sheet Year over Year'!G56=0, IF('US Balance Sheet Year over Year'!H56=0, 0, SIGN(-'US Balance Sheet Year over Year'!H56)), IF('US Balance Sheet Year over Year'!H56=0, SIGN('US Balance Sheet Year over Year'!G56), ('US Balance Sheet Year over Year'!G56-'US Balance Sheet Year over Year'!H56)/ABS('US Balance Sheet Year over Year'!H56))),5)</f>
        <v>-1</v>
      </c>
    </row>
    <row r="57" spans="1:10" x14ac:dyDescent="0.25">
      <c r="A57" s="77"/>
      <c r="B57" s="77"/>
      <c r="C57" s="77"/>
      <c r="D57" s="77"/>
      <c r="E57" s="77"/>
      <c r="F57" s="77" t="s">
        <v>94</v>
      </c>
      <c r="G57" s="51">
        <v>122500</v>
      </c>
      <c r="H57" s="51">
        <v>40000</v>
      </c>
      <c r="I57" s="51">
        <f t="shared" si="1"/>
        <v>82500</v>
      </c>
      <c r="J57" s="141">
        <f>ROUND(IF('US Balance Sheet Year over Year'!G57=0, IF('US Balance Sheet Year over Year'!H57=0, 0, SIGN(-'US Balance Sheet Year over Year'!H57)), IF('US Balance Sheet Year over Year'!H57=0, SIGN('US Balance Sheet Year over Year'!G57), ('US Balance Sheet Year over Year'!G57-'US Balance Sheet Year over Year'!H57)/ABS('US Balance Sheet Year over Year'!H57))),5)</f>
        <v>2.0625</v>
      </c>
    </row>
    <row r="58" spans="1:10" x14ac:dyDescent="0.25">
      <c r="A58" s="77"/>
      <c r="B58" s="77"/>
      <c r="C58" s="77"/>
      <c r="D58" s="77"/>
      <c r="E58" s="77"/>
      <c r="F58" s="77" t="s">
        <v>7842</v>
      </c>
      <c r="G58" s="51">
        <v>0</v>
      </c>
      <c r="H58" s="51">
        <v>3300</v>
      </c>
      <c r="I58" s="51">
        <f t="shared" si="1"/>
        <v>-3300</v>
      </c>
      <c r="J58" s="141">
        <f>ROUND(IF('US Balance Sheet Year over Year'!G58=0, IF('US Balance Sheet Year over Year'!H58=0, 0, SIGN(-'US Balance Sheet Year over Year'!H58)), IF('US Balance Sheet Year over Year'!H58=0, SIGN('US Balance Sheet Year over Year'!G58), ('US Balance Sheet Year over Year'!G58-'US Balance Sheet Year over Year'!H58)/ABS('US Balance Sheet Year over Year'!H58))),5)</f>
        <v>-1</v>
      </c>
    </row>
    <row r="59" spans="1:10" x14ac:dyDescent="0.25">
      <c r="A59" s="77"/>
      <c r="B59" s="77"/>
      <c r="C59" s="77"/>
      <c r="D59" s="77"/>
      <c r="E59" s="77"/>
      <c r="F59" s="77" t="s">
        <v>95</v>
      </c>
      <c r="G59" s="51">
        <v>219078.73</v>
      </c>
      <c r="H59" s="51">
        <v>67775.03</v>
      </c>
      <c r="I59" s="51">
        <f t="shared" si="1"/>
        <v>151303.70000000001</v>
      </c>
      <c r="J59" s="141">
        <f>ROUND(IF('US Balance Sheet Year over Year'!G59=0, IF('US Balance Sheet Year over Year'!H59=0, 0, SIGN(-'US Balance Sheet Year over Year'!H59)), IF('US Balance Sheet Year over Year'!H59=0, SIGN('US Balance Sheet Year over Year'!G59), ('US Balance Sheet Year over Year'!G59-'US Balance Sheet Year over Year'!H59)/ABS('US Balance Sheet Year over Year'!H59))),5)</f>
        <v>2.23244</v>
      </c>
    </row>
    <row r="60" spans="1:10" ht="15.75" thickBot="1" x14ac:dyDescent="0.3">
      <c r="A60" s="77"/>
      <c r="B60" s="77"/>
      <c r="C60" s="77"/>
      <c r="D60" s="77"/>
      <c r="E60" s="77"/>
      <c r="F60" s="77" t="s">
        <v>88</v>
      </c>
      <c r="G60" s="52">
        <v>12492.71</v>
      </c>
      <c r="H60" s="52">
        <v>12406.73</v>
      </c>
      <c r="I60" s="52">
        <f t="shared" si="1"/>
        <v>85.98</v>
      </c>
      <c r="J60" s="143">
        <f>ROUND(IF('US Balance Sheet Year over Year'!G60=0, IF('US Balance Sheet Year over Year'!H60=0, 0, SIGN(-'US Balance Sheet Year over Year'!H60)), IF('US Balance Sheet Year over Year'!H60=0, SIGN('US Balance Sheet Year over Year'!G60), ('US Balance Sheet Year over Year'!G60-'US Balance Sheet Year over Year'!H60)/ABS('US Balance Sheet Year over Year'!H60))),5)</f>
        <v>6.9300000000000004E-3</v>
      </c>
    </row>
    <row r="61" spans="1:10" x14ac:dyDescent="0.25">
      <c r="A61" s="77"/>
      <c r="B61" s="77"/>
      <c r="C61" s="77"/>
      <c r="D61" s="77"/>
      <c r="E61" s="77" t="s">
        <v>96</v>
      </c>
      <c r="F61" s="77"/>
      <c r="G61" s="51">
        <f>ROUND(SUM(G50:G60),5)</f>
        <v>797162.87</v>
      </c>
      <c r="H61" s="51">
        <f>ROUND(SUM(H50:H60),5)</f>
        <v>227831.76</v>
      </c>
      <c r="I61" s="51">
        <f t="shared" si="1"/>
        <v>569331.11</v>
      </c>
      <c r="J61" s="141">
        <f>ROUND(IF('US Balance Sheet Year over Year'!G61=0, IF('US Balance Sheet Year over Year'!H61=0, 0, SIGN(-'US Balance Sheet Year over Year'!H61)), IF('US Balance Sheet Year over Year'!H61=0, SIGN('US Balance Sheet Year over Year'!G61), ('US Balance Sheet Year over Year'!G61-'US Balance Sheet Year over Year'!H61)/ABS('US Balance Sheet Year over Year'!H61))),5)</f>
        <v>2.49891</v>
      </c>
    </row>
    <row r="62" spans="1:10" ht="15.75" thickBot="1" x14ac:dyDescent="0.3">
      <c r="A62" s="77"/>
      <c r="B62" s="77"/>
      <c r="C62" s="77"/>
      <c r="D62" s="77"/>
      <c r="E62" s="77" t="s">
        <v>7695</v>
      </c>
      <c r="F62" s="77"/>
      <c r="G62" s="51">
        <v>129.85</v>
      </c>
      <c r="H62" s="51">
        <v>720.02</v>
      </c>
      <c r="I62" s="51">
        <f t="shared" si="1"/>
        <v>-590.16999999999996</v>
      </c>
      <c r="J62" s="141">
        <f>ROUND(IF('US Balance Sheet Year over Year'!G62=0, IF('US Balance Sheet Year over Year'!H62=0, 0, SIGN(-'US Balance Sheet Year over Year'!H62)), IF('US Balance Sheet Year over Year'!H62=0, SIGN('US Balance Sheet Year over Year'!G62), ('US Balance Sheet Year over Year'!G62-'US Balance Sheet Year over Year'!H62)/ABS('US Balance Sheet Year over Year'!H62))),5)</f>
        <v>-0.81966000000000006</v>
      </c>
    </row>
    <row r="63" spans="1:10" ht="15.75" thickBot="1" x14ac:dyDescent="0.3">
      <c r="A63" s="77"/>
      <c r="B63" s="77"/>
      <c r="C63" s="77"/>
      <c r="D63" s="77" t="s">
        <v>97</v>
      </c>
      <c r="E63" s="77"/>
      <c r="F63" s="77"/>
      <c r="G63" s="89">
        <f>ROUND(SUM(G47:G49)+SUM(G61:G62),5)</f>
        <v>802292.72</v>
      </c>
      <c r="H63" s="89">
        <f>ROUND(SUM(H47:H49)+SUM(H61:H62),5)</f>
        <v>341251.78</v>
      </c>
      <c r="I63" s="89">
        <f t="shared" si="1"/>
        <v>461040.94</v>
      </c>
      <c r="J63" s="140">
        <f>ROUND(IF('US Balance Sheet Year over Year'!G63=0, IF('US Balance Sheet Year over Year'!H63=0, 0, SIGN(-'US Balance Sheet Year over Year'!H63)), IF('US Balance Sheet Year over Year'!H63=0, SIGN('US Balance Sheet Year over Year'!G63), ('US Balance Sheet Year over Year'!G63-'US Balance Sheet Year over Year'!H63)/ABS('US Balance Sheet Year over Year'!H63))),5)</f>
        <v>1.35103</v>
      </c>
    </row>
    <row r="64" spans="1:10" ht="15.75" thickBot="1" x14ac:dyDescent="0.3">
      <c r="A64" s="77"/>
      <c r="B64" s="77"/>
      <c r="C64" s="77" t="s">
        <v>64</v>
      </c>
      <c r="D64" s="77"/>
      <c r="E64" s="77"/>
      <c r="F64" s="77"/>
      <c r="G64" s="54">
        <f>ROUND(G43+G46+G63,5)</f>
        <v>866909.94</v>
      </c>
      <c r="H64" s="54">
        <f>ROUND(H43+H46+H63,5)</f>
        <v>376891.15</v>
      </c>
      <c r="I64" s="54">
        <f t="shared" si="1"/>
        <v>490018.79</v>
      </c>
      <c r="J64" s="142">
        <f>ROUND(IF('US Balance Sheet Year over Year'!G64=0, IF('US Balance Sheet Year over Year'!H64=0, 0, SIGN(-'US Balance Sheet Year over Year'!H64)), IF('US Balance Sheet Year over Year'!H64=0, SIGN('US Balance Sheet Year over Year'!G64), ('US Balance Sheet Year over Year'!G64-'US Balance Sheet Year over Year'!H64)/ABS('US Balance Sheet Year over Year'!H64))),5)</f>
        <v>1.30016</v>
      </c>
    </row>
    <row r="65" spans="1:10" x14ac:dyDescent="0.25">
      <c r="A65" s="77"/>
      <c r="B65" s="77" t="s">
        <v>65</v>
      </c>
      <c r="C65" s="77"/>
      <c r="D65" s="77"/>
      <c r="E65" s="77"/>
      <c r="F65" s="77"/>
      <c r="G65" s="51">
        <f>ROUND(G42+G64,5)</f>
        <v>866909.94</v>
      </c>
      <c r="H65" s="51">
        <f>ROUND(H42+H64,5)</f>
        <v>376891.15</v>
      </c>
      <c r="I65" s="51">
        <f t="shared" si="1"/>
        <v>490018.79</v>
      </c>
      <c r="J65" s="141">
        <f>ROUND(IF('US Balance Sheet Year over Year'!G65=0, IF('US Balance Sheet Year over Year'!H65=0, 0, SIGN(-'US Balance Sheet Year over Year'!H65)), IF('US Balance Sheet Year over Year'!H65=0, SIGN('US Balance Sheet Year over Year'!G65), ('US Balance Sheet Year over Year'!G65-'US Balance Sheet Year over Year'!H65)/ABS('US Balance Sheet Year over Year'!H65))),5)</f>
        <v>1.30016</v>
      </c>
    </row>
    <row r="66" spans="1:10" x14ac:dyDescent="0.25">
      <c r="A66" s="77"/>
      <c r="B66" s="77" t="s">
        <v>66</v>
      </c>
      <c r="C66" s="77"/>
      <c r="D66" s="77"/>
      <c r="E66" s="77"/>
      <c r="F66" s="77"/>
      <c r="G66" s="51"/>
      <c r="H66" s="51"/>
      <c r="I66" s="51"/>
      <c r="J66" s="141"/>
    </row>
    <row r="67" spans="1:10" x14ac:dyDescent="0.25">
      <c r="A67" s="77"/>
      <c r="B67" s="77"/>
      <c r="C67" s="77" t="s">
        <v>98</v>
      </c>
      <c r="D67" s="77"/>
      <c r="E67" s="77"/>
      <c r="F67" s="77"/>
      <c r="G67" s="51">
        <v>168597.13</v>
      </c>
      <c r="H67" s="51">
        <v>168597.13</v>
      </c>
      <c r="I67" s="51">
        <f>ROUND((G67-H67),5)</f>
        <v>0</v>
      </c>
      <c r="J67" s="141">
        <f>ROUND(IF('US Balance Sheet Year over Year'!G67=0, IF('US Balance Sheet Year over Year'!H67=0, 0, SIGN(-'US Balance Sheet Year over Year'!H67)), IF('US Balance Sheet Year over Year'!H67=0, SIGN('US Balance Sheet Year over Year'!G67), ('US Balance Sheet Year over Year'!G67-'US Balance Sheet Year over Year'!H67)/ABS('US Balance Sheet Year over Year'!H67))),5)</f>
        <v>0</v>
      </c>
    </row>
    <row r="68" spans="1:10" x14ac:dyDescent="0.25">
      <c r="A68" s="77"/>
      <c r="B68" s="77"/>
      <c r="C68" s="77" t="s">
        <v>99</v>
      </c>
      <c r="D68" s="77"/>
      <c r="E68" s="77"/>
      <c r="F68" s="77"/>
      <c r="G68" s="51">
        <v>1002658.01</v>
      </c>
      <c r="H68" s="51">
        <v>817695.88</v>
      </c>
      <c r="I68" s="51">
        <f>ROUND((G68-H68),5)</f>
        <v>184962.13</v>
      </c>
      <c r="J68" s="141">
        <f>ROUND(IF('US Balance Sheet Year over Year'!G68=0, IF('US Balance Sheet Year over Year'!H68=0, 0, SIGN(-'US Balance Sheet Year over Year'!H68)), IF('US Balance Sheet Year over Year'!H68=0, SIGN('US Balance Sheet Year over Year'!G68), ('US Balance Sheet Year over Year'!G68-'US Balance Sheet Year over Year'!H68)/ABS('US Balance Sheet Year over Year'!H68))),5)</f>
        <v>0.22620000000000001</v>
      </c>
    </row>
    <row r="69" spans="1:10" s="2" customFormat="1" ht="12" thickBot="1" x14ac:dyDescent="0.25">
      <c r="A69" s="77"/>
      <c r="B69" s="77"/>
      <c r="C69" s="77" t="s">
        <v>49</v>
      </c>
      <c r="D69" s="77"/>
      <c r="E69" s="77"/>
      <c r="F69" s="77"/>
      <c r="G69" s="51">
        <v>-67864.710000000006</v>
      </c>
      <c r="H69" s="51">
        <v>-96474.49</v>
      </c>
      <c r="I69" s="51">
        <f>ROUND((G69-H69),5)</f>
        <v>28609.78</v>
      </c>
      <c r="J69" s="141">
        <f>ROUND(IF('US Balance Sheet Year over Year'!G69=0, IF('US Balance Sheet Year over Year'!H69=0, 0, SIGN(-'US Balance Sheet Year over Year'!H69)), IF('US Balance Sheet Year over Year'!H69=0, SIGN('US Balance Sheet Year over Year'!G69), ('US Balance Sheet Year over Year'!G69-'US Balance Sheet Year over Year'!H69)/ABS('US Balance Sheet Year over Year'!H69))),5)</f>
        <v>0.29654999999999998</v>
      </c>
    </row>
    <row r="70" spans="1:10" ht="15.75" thickBot="1" x14ac:dyDescent="0.3">
      <c r="A70" s="77"/>
      <c r="B70" s="77" t="s">
        <v>100</v>
      </c>
      <c r="C70" s="77"/>
      <c r="D70" s="77"/>
      <c r="E70" s="77"/>
      <c r="F70" s="77"/>
      <c r="G70" s="89">
        <f>ROUND(SUM(G66:G69),5)</f>
        <v>1103390.43</v>
      </c>
      <c r="H70" s="89">
        <f>ROUND(SUM(H66:H69),5)</f>
        <v>889818.52</v>
      </c>
      <c r="I70" s="89">
        <f>ROUND((G70-H70),5)</f>
        <v>213571.91</v>
      </c>
      <c r="J70" s="140">
        <f>ROUND(IF('US Balance Sheet Year over Year'!G70=0, IF('US Balance Sheet Year over Year'!H70=0, 0, SIGN(-'US Balance Sheet Year over Year'!H70)), IF('US Balance Sheet Year over Year'!H70=0, SIGN('US Balance Sheet Year over Year'!G70), ('US Balance Sheet Year over Year'!G70-'US Balance Sheet Year over Year'!H70)/ABS('US Balance Sheet Year over Year'!H70))),5)</f>
        <v>0.24002000000000001</v>
      </c>
    </row>
    <row r="71" spans="1:10" ht="15.75" thickBot="1" x14ac:dyDescent="0.3">
      <c r="A71" s="77" t="s">
        <v>67</v>
      </c>
      <c r="B71" s="77"/>
      <c r="C71" s="77"/>
      <c r="D71" s="77"/>
      <c r="E71" s="77"/>
      <c r="F71" s="77"/>
      <c r="G71" s="55">
        <f>ROUND(G41+G65+G70,5)</f>
        <v>1970300.37</v>
      </c>
      <c r="H71" s="55">
        <f>ROUND(H41+H65+H70,5)</f>
        <v>1266709.67</v>
      </c>
      <c r="I71" s="55">
        <f>ROUND((G71-H71),5)</f>
        <v>703590.7</v>
      </c>
      <c r="J71" s="139">
        <f>ROUND(IF('US Balance Sheet Year over Year'!G71=0, IF('US Balance Sheet Year over Year'!H71=0, 0, SIGN(-'US Balance Sheet Year over Year'!H71)), IF('US Balance Sheet Year over Year'!H71=0, SIGN('US Balance Sheet Year over Year'!G71), ('US Balance Sheet Year over Year'!G71-'US Balance Sheet Year over Year'!H71)/ABS('US Balance Sheet Year over Year'!H71))),5)</f>
        <v>0.55545</v>
      </c>
    </row>
    <row r="72" spans="1:10" ht="15.75" thickTop="1" x14ac:dyDescent="0.25"/>
  </sheetData>
  <hyperlinks>
    <hyperlink ref="K2" location="Contents!A1" display="Contents" xr:uid="{61DA20E4-7440-4ACA-9177-EE9231853BFC}"/>
  </hyperlinks>
  <pageMargins left="0.7" right="0.7" top="0.75" bottom="0.75" header="0.1" footer="0.3"/>
  <pageSetup scale="66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3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8" r:id="rId4" name="TextBox6"/>
      </mc:Fallback>
    </mc:AlternateContent>
    <mc:AlternateContent xmlns:mc="http://schemas.openxmlformats.org/markup-compatibility/2006">
      <mc:Choice Requires="x14">
        <control shapeId="6963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7" r:id="rId6" name="TextBox5"/>
      </mc:Fallback>
    </mc:AlternateContent>
    <mc:AlternateContent xmlns:mc="http://schemas.openxmlformats.org/markup-compatibility/2006">
      <mc:Choice Requires="x14">
        <control shapeId="6963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6" r:id="rId8" name="TextBox4"/>
      </mc:Fallback>
    </mc:AlternateContent>
    <mc:AlternateContent xmlns:mc="http://schemas.openxmlformats.org/markup-compatibility/2006">
      <mc:Choice Requires="x14">
        <control shapeId="6963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5" r:id="rId10" name="TextBox3"/>
      </mc:Fallback>
    </mc:AlternateContent>
    <mc:AlternateContent xmlns:mc="http://schemas.openxmlformats.org/markup-compatibility/2006">
      <mc:Choice Requires="x14">
        <control shapeId="69633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12" name="TextBox1"/>
      </mc:Fallback>
    </mc:AlternateContent>
    <mc:AlternateContent xmlns:mc="http://schemas.openxmlformats.org/markup-compatibility/2006">
      <mc:Choice Requires="x14">
        <control shapeId="69634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14" name="TextBox2"/>
      </mc:Fallback>
    </mc:AlternateContent>
    <mc:AlternateContent xmlns:mc="http://schemas.openxmlformats.org/markup-compatibility/2006">
      <mc:Choice Requires="x14">
        <control shapeId="6963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9" r:id="rId16" name="TextBox7"/>
      </mc:Fallback>
    </mc:AlternateContent>
    <mc:AlternateContent xmlns:mc="http://schemas.openxmlformats.org/markup-compatibility/2006">
      <mc:Choice Requires="x14">
        <control shapeId="6964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0" r:id="rId18" name="TextBox8"/>
      </mc:Fallback>
    </mc:AlternateContent>
    <mc:AlternateContent xmlns:mc="http://schemas.openxmlformats.org/markup-compatibility/2006">
      <mc:Choice Requires="x14">
        <control shapeId="69641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1" r:id="rId20" name="TextBox9"/>
      </mc:Fallback>
    </mc:AlternateContent>
    <mc:AlternateContent xmlns:mc="http://schemas.openxmlformats.org/markup-compatibility/2006">
      <mc:Choice Requires="x14">
        <control shapeId="69642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2" r:id="rId22" name="TextBox10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>
    <pageSetUpPr fitToPage="1"/>
  </sheetPr>
  <dimension ref="A1:P77"/>
  <sheetViews>
    <sheetView zoomScale="172" zoomScaleNormal="172" workbookViewId="0">
      <pane xSplit="7" ySplit="2" topLeftCell="H61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7" width="3" style="2" customWidth="1"/>
    <col min="8" max="8" width="27.5703125" style="2" customWidth="1"/>
    <col min="9" max="10" width="8.7109375" style="75" bestFit="1" customWidth="1"/>
    <col min="11" max="11" width="8.42578125" style="75" bestFit="1" customWidth="1"/>
    <col min="12" max="12" width="8.7109375" style="75" bestFit="1" customWidth="1"/>
    <col min="13" max="13" width="9.140625" style="75"/>
    <col min="14" max="14" width="13.140625" style="75" customWidth="1"/>
    <col min="15" max="16384" width="9.140625" style="75"/>
  </cols>
  <sheetData>
    <row r="1" spans="1:13" ht="15.75" thickBot="1" x14ac:dyDescent="0.3">
      <c r="A1" s="77"/>
      <c r="B1" s="77"/>
      <c r="C1" s="77"/>
      <c r="D1" s="77"/>
      <c r="E1" s="77"/>
      <c r="F1" s="77"/>
      <c r="G1" s="77"/>
      <c r="H1" s="77"/>
      <c r="I1" s="105"/>
      <c r="J1" s="105"/>
      <c r="K1" s="105"/>
      <c r="L1" s="105"/>
    </row>
    <row r="2" spans="1:13" s="3" customFormat="1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4" t="s">
        <v>7861</v>
      </c>
      <c r="J2" s="104" t="s">
        <v>7860</v>
      </c>
      <c r="K2" s="104" t="s">
        <v>7739</v>
      </c>
      <c r="L2" s="104" t="s">
        <v>7738</v>
      </c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1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1"/>
    </row>
    <row r="5" spans="1:13" x14ac:dyDescent="0.25">
      <c r="A5" s="77"/>
      <c r="B5" s="77"/>
      <c r="C5" s="77"/>
      <c r="D5" s="77"/>
      <c r="E5" s="77" t="s">
        <v>7709</v>
      </c>
      <c r="F5" s="77"/>
      <c r="G5" s="77"/>
      <c r="H5" s="77"/>
      <c r="I5" s="51">
        <v>0.19</v>
      </c>
      <c r="J5" s="51">
        <v>0.19</v>
      </c>
      <c r="K5" s="51">
        <f>ROUND((I5-J5),5)</f>
        <v>0</v>
      </c>
      <c r="L5" s="141">
        <f>ROUND(IF(I5=0, IF(J5=0, 0, SIGN(-J5)), IF(J5=0, SIGN(I5), (I5-J5)/ABS(J5))),5)</f>
        <v>0</v>
      </c>
    </row>
    <row r="6" spans="1:13" x14ac:dyDescent="0.25">
      <c r="A6" s="77"/>
      <c r="B6" s="77"/>
      <c r="C6" s="77"/>
      <c r="D6" s="77"/>
      <c r="E6" s="77" t="s">
        <v>5</v>
      </c>
      <c r="F6" s="77"/>
      <c r="G6" s="77"/>
      <c r="H6" s="77"/>
      <c r="I6" s="51"/>
      <c r="J6" s="51"/>
      <c r="K6" s="51"/>
      <c r="L6" s="141"/>
    </row>
    <row r="7" spans="1:13" x14ac:dyDescent="0.25">
      <c r="A7" s="77"/>
      <c r="B7" s="77"/>
      <c r="C7" s="77"/>
      <c r="D7" s="77"/>
      <c r="E7" s="77"/>
      <c r="F7" s="77" t="s">
        <v>6</v>
      </c>
      <c r="G7" s="77"/>
      <c r="H7" s="77"/>
      <c r="I7" s="51">
        <v>0</v>
      </c>
      <c r="J7" s="51">
        <v>2500</v>
      </c>
      <c r="K7" s="51">
        <f>ROUND((I7-J7),5)</f>
        <v>-2500</v>
      </c>
      <c r="L7" s="141">
        <f>ROUND(IF(I7=0, IF(J7=0, 0, SIGN(-J7)), IF(J7=0, SIGN(I7), (I7-J7)/ABS(J7))),5)</f>
        <v>-1</v>
      </c>
    </row>
    <row r="8" spans="1:13" x14ac:dyDescent="0.25">
      <c r="A8" s="77"/>
      <c r="B8" s="77"/>
      <c r="C8" s="77"/>
      <c r="D8" s="77"/>
      <c r="E8" s="77"/>
      <c r="F8" s="77" t="s">
        <v>7477</v>
      </c>
      <c r="G8" s="77"/>
      <c r="H8" s="77"/>
      <c r="I8" s="51">
        <v>5000</v>
      </c>
      <c r="J8" s="51">
        <v>0</v>
      </c>
      <c r="K8" s="51">
        <f>ROUND((I8-J8),5)</f>
        <v>5000</v>
      </c>
      <c r="L8" s="141">
        <f>ROUND(IF(I8=0, IF(J8=0, 0, SIGN(-J8)), IF(J8=0, SIGN(I8), (I8-J8)/ABS(J8))),5)</f>
        <v>1</v>
      </c>
    </row>
    <row r="9" spans="1:13" ht="15.75" thickBot="1" x14ac:dyDescent="0.3">
      <c r="A9" s="77"/>
      <c r="B9" s="77"/>
      <c r="C9" s="77"/>
      <c r="D9" s="77"/>
      <c r="E9" s="77"/>
      <c r="F9" s="77" t="s">
        <v>7</v>
      </c>
      <c r="G9" s="77"/>
      <c r="H9" s="77"/>
      <c r="I9" s="52">
        <v>0</v>
      </c>
      <c r="J9" s="52">
        <v>1000</v>
      </c>
      <c r="K9" s="52">
        <f>ROUND((I9-J9),5)</f>
        <v>-1000</v>
      </c>
      <c r="L9" s="143">
        <f>ROUND(IF(I9=0, IF(J9=0, 0, SIGN(-J9)), IF(J9=0, SIGN(I9), (I9-J9)/ABS(J9))),5)</f>
        <v>-1</v>
      </c>
    </row>
    <row r="10" spans="1:13" x14ac:dyDescent="0.25">
      <c r="A10" s="77"/>
      <c r="B10" s="77"/>
      <c r="C10" s="77"/>
      <c r="D10" s="77"/>
      <c r="E10" s="77" t="s">
        <v>8</v>
      </c>
      <c r="F10" s="77"/>
      <c r="G10" s="77"/>
      <c r="H10" s="77"/>
      <c r="I10" s="51">
        <f>ROUND(SUM(I6:I9),5)</f>
        <v>5000</v>
      </c>
      <c r="J10" s="51">
        <f>ROUND(SUM(J6:J9),5)</f>
        <v>3500</v>
      </c>
      <c r="K10" s="51">
        <f>ROUND((I10-J10),5)</f>
        <v>1500</v>
      </c>
      <c r="L10" s="141">
        <f>ROUND(IF(I10=0, IF(J10=0, 0, SIGN(-J10)), IF(J10=0, SIGN(I10), (I10-J10)/ABS(J10))),5)</f>
        <v>0.42857000000000001</v>
      </c>
    </row>
    <row r="11" spans="1:13" x14ac:dyDescent="0.25">
      <c r="A11" s="77"/>
      <c r="B11" s="77"/>
      <c r="C11" s="77"/>
      <c r="D11" s="77"/>
      <c r="E11" s="77" t="s">
        <v>9</v>
      </c>
      <c r="F11" s="77"/>
      <c r="G11" s="77"/>
      <c r="H11" s="77"/>
      <c r="I11" s="51"/>
      <c r="J11" s="51"/>
      <c r="K11" s="51"/>
      <c r="L11" s="141"/>
    </row>
    <row r="12" spans="1:13" x14ac:dyDescent="0.25">
      <c r="A12" s="77"/>
      <c r="B12" s="77"/>
      <c r="C12" s="77"/>
      <c r="D12" s="77"/>
      <c r="E12" s="77"/>
      <c r="F12" s="77" t="s">
        <v>10</v>
      </c>
      <c r="G12" s="77"/>
      <c r="H12" s="77"/>
      <c r="I12" s="51">
        <v>56810.5</v>
      </c>
      <c r="J12" s="51">
        <v>44000</v>
      </c>
      <c r="K12" s="51">
        <f>ROUND((I12-J12),5)</f>
        <v>12810.5</v>
      </c>
      <c r="L12" s="141">
        <f>ROUND(IF(I12=0, IF(J12=0, 0, SIGN(-J12)), IF(J12=0, SIGN(I12), (I12-J12)/ABS(J12))),5)</f>
        <v>0.29115000000000002</v>
      </c>
    </row>
    <row r="13" spans="1:13" ht="15.75" thickBot="1" x14ac:dyDescent="0.3">
      <c r="A13" s="77"/>
      <c r="B13" s="77"/>
      <c r="C13" s="77"/>
      <c r="D13" s="77"/>
      <c r="E13" s="77"/>
      <c r="F13" s="77" t="s">
        <v>11</v>
      </c>
      <c r="G13" s="77"/>
      <c r="H13" s="77"/>
      <c r="I13" s="52">
        <v>19583</v>
      </c>
      <c r="J13" s="52">
        <v>18755</v>
      </c>
      <c r="K13" s="52">
        <f>ROUND((I13-J13),5)</f>
        <v>828</v>
      </c>
      <c r="L13" s="143">
        <f>ROUND(IF(I13=0, IF(J13=0, 0, SIGN(-J13)), IF(J13=0, SIGN(I13), (I13-J13)/ABS(J13))),5)</f>
        <v>4.4150000000000002E-2</v>
      </c>
    </row>
    <row r="14" spans="1:13" x14ac:dyDescent="0.25">
      <c r="A14" s="77"/>
      <c r="B14" s="77"/>
      <c r="C14" s="77"/>
      <c r="D14" s="77"/>
      <c r="E14" s="77" t="s">
        <v>12</v>
      </c>
      <c r="F14" s="77"/>
      <c r="G14" s="77"/>
      <c r="H14" s="77"/>
      <c r="I14" s="51">
        <f>ROUND(SUM(I11:I13),5)</f>
        <v>76393.5</v>
      </c>
      <c r="J14" s="51">
        <f>ROUND(SUM(J11:J13),5)</f>
        <v>62755</v>
      </c>
      <c r="K14" s="51">
        <f>ROUND((I14-J14),5)</f>
        <v>13638.5</v>
      </c>
      <c r="L14" s="141">
        <f>ROUND(IF(I14=0, IF(J14=0, 0, SIGN(-J14)), IF(J14=0, SIGN(I14), (I14-J14)/ABS(J14))),5)</f>
        <v>0.21733</v>
      </c>
    </row>
    <row r="15" spans="1:13" x14ac:dyDescent="0.25">
      <c r="A15" s="77"/>
      <c r="B15" s="77"/>
      <c r="C15" s="77"/>
      <c r="D15" s="77"/>
      <c r="E15" s="77" t="s">
        <v>7480</v>
      </c>
      <c r="F15" s="77"/>
      <c r="G15" s="77"/>
      <c r="H15" s="77"/>
      <c r="I15" s="51"/>
      <c r="J15" s="51"/>
      <c r="K15" s="51"/>
      <c r="L15" s="141"/>
    </row>
    <row r="16" spans="1:13" x14ac:dyDescent="0.25">
      <c r="A16" s="77"/>
      <c r="B16" s="77"/>
      <c r="C16" s="77"/>
      <c r="D16" s="77"/>
      <c r="E16" s="77"/>
      <c r="F16" s="77" t="s">
        <v>7479</v>
      </c>
      <c r="G16" s="77"/>
      <c r="H16" s="77"/>
      <c r="I16" s="51"/>
      <c r="J16" s="51"/>
      <c r="K16" s="51"/>
      <c r="L16" s="141"/>
    </row>
    <row r="17" spans="1:12" x14ac:dyDescent="0.25">
      <c r="A17" s="77"/>
      <c r="B17" s="77"/>
      <c r="C17" s="77"/>
      <c r="D17" s="77"/>
      <c r="E17" s="77"/>
      <c r="F17" s="77"/>
      <c r="G17" s="77" t="s">
        <v>7478</v>
      </c>
      <c r="H17" s="77"/>
      <c r="I17" s="51"/>
      <c r="J17" s="51"/>
      <c r="K17" s="51"/>
      <c r="L17" s="141"/>
    </row>
    <row r="18" spans="1:12" ht="15.75" thickBot="1" x14ac:dyDescent="0.3">
      <c r="A18" s="77"/>
      <c r="B18" s="77"/>
      <c r="C18" s="77"/>
      <c r="D18" s="77"/>
      <c r="E18" s="77"/>
      <c r="F18" s="77"/>
      <c r="G18" s="77"/>
      <c r="H18" s="77" t="s">
        <v>7477</v>
      </c>
      <c r="I18" s="51">
        <v>0</v>
      </c>
      <c r="J18" s="51">
        <v>0</v>
      </c>
      <c r="K18" s="51">
        <f>ROUND((I18-J18),5)</f>
        <v>0</v>
      </c>
      <c r="L18" s="141">
        <f>ROUND(IF(I18=0, IF(J18=0, 0, SIGN(-J18)), IF(J18=0, SIGN(I18), (I18-J18)/ABS(J18))),5)</f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7476</v>
      </c>
      <c r="H19" s="77"/>
      <c r="I19" s="89">
        <f>ROUND(SUM(I17:I18),5)</f>
        <v>0</v>
      </c>
      <c r="J19" s="89">
        <f>ROUND(SUM(J17:J18),5)</f>
        <v>0</v>
      </c>
      <c r="K19" s="89">
        <f>ROUND((I19-J19),5)</f>
        <v>0</v>
      </c>
      <c r="L19" s="140">
        <f>ROUND(IF(I19=0, IF(J19=0, 0, SIGN(-J19)), IF(J19=0, SIGN(I19), (I19-J19)/ABS(J19))),5)</f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7475</v>
      </c>
      <c r="G20" s="77"/>
      <c r="H20" s="77"/>
      <c r="I20" s="54">
        <f>ROUND(I16+I19,5)</f>
        <v>0</v>
      </c>
      <c r="J20" s="54">
        <f>ROUND(J16+J19,5)</f>
        <v>0</v>
      </c>
      <c r="K20" s="54">
        <f>ROUND((I20-J20),5)</f>
        <v>0</v>
      </c>
      <c r="L20" s="142">
        <f>ROUND(IF(I20=0, IF(J20=0, 0, SIGN(-J20)), IF(J20=0, SIGN(I20), (I20-J20)/ABS(J20))),5)</f>
        <v>0</v>
      </c>
    </row>
    <row r="21" spans="1:12" x14ac:dyDescent="0.25">
      <c r="A21" s="77"/>
      <c r="B21" s="77"/>
      <c r="C21" s="77"/>
      <c r="D21" s="77"/>
      <c r="E21" s="77" t="s">
        <v>7474</v>
      </c>
      <c r="F21" s="77"/>
      <c r="G21" s="77"/>
      <c r="H21" s="77"/>
      <c r="I21" s="51">
        <f>ROUND(I15+I20,5)</f>
        <v>0</v>
      </c>
      <c r="J21" s="51">
        <f>ROUND(J15+J20,5)</f>
        <v>0</v>
      </c>
      <c r="K21" s="51">
        <f>ROUND((I21-J21),5)</f>
        <v>0</v>
      </c>
      <c r="L21" s="141">
        <f>ROUND(IF(I21=0, IF(J21=0, 0, SIGN(-J21)), IF(J21=0, SIGN(I21), (I21-J21)/ABS(J21))),5)</f>
        <v>0</v>
      </c>
    </row>
    <row r="22" spans="1:12" x14ac:dyDescent="0.25">
      <c r="A22" s="77"/>
      <c r="B22" s="77"/>
      <c r="C22" s="77"/>
      <c r="D22" s="77"/>
      <c r="E22" s="77" t="s">
        <v>13</v>
      </c>
      <c r="F22" s="77"/>
      <c r="G22" s="77"/>
      <c r="H22" s="77"/>
      <c r="I22" s="51"/>
      <c r="J22" s="51"/>
      <c r="K22" s="51"/>
      <c r="L22" s="141"/>
    </row>
    <row r="23" spans="1:12" x14ac:dyDescent="0.25">
      <c r="A23" s="77"/>
      <c r="B23" s="77"/>
      <c r="C23" s="77"/>
      <c r="D23" s="77"/>
      <c r="E23" s="77"/>
      <c r="F23" s="77" t="s">
        <v>14</v>
      </c>
      <c r="G23" s="77"/>
      <c r="H23" s="77"/>
      <c r="I23" s="51">
        <v>1202</v>
      </c>
      <c r="J23" s="51">
        <v>1936</v>
      </c>
      <c r="K23" s="51">
        <f>ROUND((I23-J23),5)</f>
        <v>-734</v>
      </c>
      <c r="L23" s="141">
        <f>ROUND(IF(I23=0, IF(J23=0, 0, SIGN(-J23)), IF(J23=0, SIGN(I23), (I23-J23)/ABS(J23))),5)</f>
        <v>-0.37913000000000002</v>
      </c>
    </row>
    <row r="24" spans="1:12" ht="15.75" thickBot="1" x14ac:dyDescent="0.3">
      <c r="A24" s="77"/>
      <c r="B24" s="77"/>
      <c r="C24" s="77"/>
      <c r="D24" s="77"/>
      <c r="E24" s="77"/>
      <c r="F24" s="77" t="s">
        <v>15</v>
      </c>
      <c r="G24" s="77"/>
      <c r="H24" s="77"/>
      <c r="I24" s="51">
        <v>1121.68</v>
      </c>
      <c r="J24" s="51">
        <v>312.24</v>
      </c>
      <c r="K24" s="51">
        <f>ROUND((I24-J24),5)</f>
        <v>809.44</v>
      </c>
      <c r="L24" s="141">
        <f>ROUND(IF(I24=0, IF(J24=0, 0, SIGN(-J24)), IF(J24=0, SIGN(I24), (I24-J24)/ABS(J24))),5)</f>
        <v>2.5923600000000002</v>
      </c>
    </row>
    <row r="25" spans="1:12" ht="15.75" thickBot="1" x14ac:dyDescent="0.3">
      <c r="A25" s="77"/>
      <c r="B25" s="77"/>
      <c r="C25" s="77"/>
      <c r="D25" s="77"/>
      <c r="E25" s="77" t="s">
        <v>16</v>
      </c>
      <c r="F25" s="77"/>
      <c r="G25" s="77"/>
      <c r="H25" s="77"/>
      <c r="I25" s="89">
        <f>ROUND(SUM(I22:I24),5)</f>
        <v>2323.6799999999998</v>
      </c>
      <c r="J25" s="89">
        <f>ROUND(SUM(J22:J24),5)</f>
        <v>2248.2399999999998</v>
      </c>
      <c r="K25" s="89">
        <f>ROUND((I25-J25),5)</f>
        <v>75.44</v>
      </c>
      <c r="L25" s="140">
        <f>ROUND(IF(I25=0, IF(J25=0, 0, SIGN(-J25)), IF(J25=0, SIGN(I25), (I25-J25)/ABS(J25))),5)</f>
        <v>3.356E-2</v>
      </c>
    </row>
    <row r="26" spans="1:12" ht="15.75" thickBot="1" x14ac:dyDescent="0.3">
      <c r="A26" s="77"/>
      <c r="B26" s="77"/>
      <c r="C26" s="77"/>
      <c r="D26" s="77" t="s">
        <v>17</v>
      </c>
      <c r="E26" s="77"/>
      <c r="F26" s="77"/>
      <c r="G26" s="77"/>
      <c r="H26" s="77"/>
      <c r="I26" s="54">
        <f>ROUND(SUM(I4:I5)+I10+I14+I21+I25,5)</f>
        <v>83717.37</v>
      </c>
      <c r="J26" s="54">
        <f>ROUND(SUM(J4:J5)+J10+J14+J21+J25,5)</f>
        <v>68503.429999999993</v>
      </c>
      <c r="K26" s="54">
        <f>ROUND((I26-J26),5)</f>
        <v>15213.94</v>
      </c>
      <c r="L26" s="142">
        <f>ROUND(IF(I26=0, IF(J26=0, 0, SIGN(-J26)), IF(J26=0, SIGN(I26), (I26-J26)/ABS(J26))),5)</f>
        <v>0.22209000000000001</v>
      </c>
    </row>
    <row r="27" spans="1:12" x14ac:dyDescent="0.25">
      <c r="A27" s="77"/>
      <c r="B27" s="77"/>
      <c r="C27" s="77" t="s">
        <v>18</v>
      </c>
      <c r="D27" s="77"/>
      <c r="E27" s="77"/>
      <c r="F27" s="77"/>
      <c r="G27" s="77"/>
      <c r="H27" s="77"/>
      <c r="I27" s="51">
        <f>I26</f>
        <v>83717.37</v>
      </c>
      <c r="J27" s="51">
        <f>J26</f>
        <v>68503.429999999993</v>
      </c>
      <c r="K27" s="51">
        <f>ROUND((I27-J27),5)</f>
        <v>15213.94</v>
      </c>
      <c r="L27" s="141">
        <f>ROUND(IF(I27=0, IF(J27=0, 0, SIGN(-J27)), IF(J27=0, SIGN(I27), (I27-J27)/ABS(J27))),5)</f>
        <v>0.22209000000000001</v>
      </c>
    </row>
    <row r="28" spans="1:12" x14ac:dyDescent="0.25">
      <c r="A28" s="77"/>
      <c r="B28" s="77"/>
      <c r="C28" s="77"/>
      <c r="D28" s="77" t="s">
        <v>19</v>
      </c>
      <c r="E28" s="77"/>
      <c r="F28" s="77"/>
      <c r="G28" s="77"/>
      <c r="H28" s="77"/>
      <c r="I28" s="51"/>
      <c r="J28" s="51"/>
      <c r="K28" s="51"/>
      <c r="L28" s="141"/>
    </row>
    <row r="29" spans="1:12" x14ac:dyDescent="0.25">
      <c r="A29" s="77"/>
      <c r="B29" s="77"/>
      <c r="C29" s="77"/>
      <c r="D29" s="77"/>
      <c r="E29" s="77" t="s">
        <v>7501</v>
      </c>
      <c r="F29" s="77"/>
      <c r="G29" s="77"/>
      <c r="H29" s="77"/>
      <c r="I29" s="51"/>
      <c r="J29" s="51"/>
      <c r="K29" s="51"/>
      <c r="L29" s="141"/>
    </row>
    <row r="30" spans="1:12" x14ac:dyDescent="0.25">
      <c r="A30" s="77"/>
      <c r="B30" s="77"/>
      <c r="C30" s="77"/>
      <c r="D30" s="77"/>
      <c r="E30" s="77"/>
      <c r="F30" s="77" t="s">
        <v>7816</v>
      </c>
      <c r="G30" s="77"/>
      <c r="H30" s="77"/>
      <c r="I30" s="51">
        <v>7621.67</v>
      </c>
      <c r="J30" s="51">
        <v>0</v>
      </c>
      <c r="K30" s="51">
        <f>ROUND((I30-J30),5)</f>
        <v>7621.67</v>
      </c>
      <c r="L30" s="141">
        <f>ROUND(IF(I30=0, IF(J30=0, 0, SIGN(-J30)), IF(J30=0, SIGN(I30), (I30-J30)/ABS(J30))),5)</f>
        <v>1</v>
      </c>
    </row>
    <row r="31" spans="1:12" ht="15.75" thickBot="1" x14ac:dyDescent="0.3">
      <c r="A31" s="77"/>
      <c r="B31" s="77"/>
      <c r="C31" s="77"/>
      <c r="D31" s="77"/>
      <c r="E31" s="77"/>
      <c r="F31" s="77" t="s">
        <v>7502</v>
      </c>
      <c r="G31" s="77"/>
      <c r="H31" s="77"/>
      <c r="I31" s="52">
        <v>0</v>
      </c>
      <c r="J31" s="52">
        <v>22410</v>
      </c>
      <c r="K31" s="52">
        <f>ROUND((I31-J31),5)</f>
        <v>-22410</v>
      </c>
      <c r="L31" s="143">
        <f>ROUND(IF(I31=0, IF(J31=0, 0, SIGN(-J31)), IF(J31=0, SIGN(I31), (I31-J31)/ABS(J31))),5)</f>
        <v>-1</v>
      </c>
    </row>
    <row r="32" spans="1:12" x14ac:dyDescent="0.25">
      <c r="A32" s="77"/>
      <c r="B32" s="77"/>
      <c r="C32" s="77"/>
      <c r="D32" s="77"/>
      <c r="E32" s="77" t="s">
        <v>7503</v>
      </c>
      <c r="F32" s="77"/>
      <c r="G32" s="77"/>
      <c r="H32" s="77"/>
      <c r="I32" s="51">
        <f>ROUND(SUM(I29:I31),5)</f>
        <v>7621.67</v>
      </c>
      <c r="J32" s="51">
        <f>ROUND(SUM(J29:J31),5)</f>
        <v>22410</v>
      </c>
      <c r="K32" s="51">
        <f>ROUND((I32-J32),5)</f>
        <v>-14788.33</v>
      </c>
      <c r="L32" s="141">
        <f>ROUND(IF(I32=0, IF(J32=0, 0, SIGN(-J32)), IF(J32=0, SIGN(I32), (I32-J32)/ABS(J32))),5)</f>
        <v>-0.65990000000000004</v>
      </c>
    </row>
    <row r="33" spans="1:12" x14ac:dyDescent="0.25">
      <c r="A33" s="77"/>
      <c r="B33" s="77"/>
      <c r="C33" s="77"/>
      <c r="D33" s="77"/>
      <c r="E33" s="77" t="s">
        <v>20</v>
      </c>
      <c r="F33" s="77"/>
      <c r="G33" s="77"/>
      <c r="H33" s="77"/>
      <c r="I33" s="51"/>
      <c r="J33" s="51"/>
      <c r="K33" s="51"/>
      <c r="L33" s="141"/>
    </row>
    <row r="34" spans="1:12" x14ac:dyDescent="0.25">
      <c r="A34" s="77"/>
      <c r="B34" s="77"/>
      <c r="C34" s="77"/>
      <c r="D34" s="77"/>
      <c r="E34" s="77"/>
      <c r="F34" s="77" t="s">
        <v>7831</v>
      </c>
      <c r="G34" s="77"/>
      <c r="H34" s="77"/>
      <c r="I34" s="51">
        <v>1753.89</v>
      </c>
      <c r="J34" s="51">
        <v>0</v>
      </c>
      <c r="K34" s="51">
        <f>ROUND((I34-J34),5)</f>
        <v>1753.89</v>
      </c>
      <c r="L34" s="141">
        <f>ROUND(IF(I34=0, IF(J34=0, 0, SIGN(-J34)), IF(J34=0, SIGN(I34), (I34-J34)/ABS(J34))),5)</f>
        <v>1</v>
      </c>
    </row>
    <row r="35" spans="1:12" x14ac:dyDescent="0.25">
      <c r="A35" s="77"/>
      <c r="B35" s="77"/>
      <c r="C35" s="77"/>
      <c r="D35" s="77"/>
      <c r="E35" s="77"/>
      <c r="F35" s="77" t="s">
        <v>22</v>
      </c>
      <c r="G35" s="77"/>
      <c r="H35" s="77"/>
      <c r="I35" s="51">
        <v>1846.67</v>
      </c>
      <c r="J35" s="51">
        <v>4079.77</v>
      </c>
      <c r="K35" s="51">
        <f>ROUND((I35-J35),5)</f>
        <v>-2233.1</v>
      </c>
      <c r="L35" s="141">
        <f>ROUND(IF(I35=0, IF(J35=0, 0, SIGN(-J35)), IF(J35=0, SIGN(I35), (I35-J35)/ABS(J35))),5)</f>
        <v>-0.54735999999999996</v>
      </c>
    </row>
    <row r="36" spans="1:12" x14ac:dyDescent="0.25">
      <c r="A36" s="77"/>
      <c r="B36" s="77"/>
      <c r="C36" s="77"/>
      <c r="D36" s="77"/>
      <c r="E36" s="77"/>
      <c r="F36" s="77" t="s">
        <v>24</v>
      </c>
      <c r="G36" s="77"/>
      <c r="H36" s="77"/>
      <c r="I36" s="51">
        <v>382.5</v>
      </c>
      <c r="J36" s="51">
        <v>382.5</v>
      </c>
      <c r="K36" s="51">
        <f>ROUND((I36-J36),5)</f>
        <v>0</v>
      </c>
      <c r="L36" s="141">
        <f>ROUND(IF(I36=0, IF(J36=0, 0, SIGN(-J36)), IF(J36=0, SIGN(I36), (I36-J36)/ABS(J36))),5)</f>
        <v>0</v>
      </c>
    </row>
    <row r="37" spans="1:12" x14ac:dyDescent="0.25">
      <c r="A37" s="77"/>
      <c r="B37" s="77"/>
      <c r="C37" s="77"/>
      <c r="D37" s="77"/>
      <c r="E37" s="77"/>
      <c r="F37" s="77" t="s">
        <v>25</v>
      </c>
      <c r="G37" s="77"/>
      <c r="H37" s="77"/>
      <c r="I37" s="51"/>
      <c r="J37" s="51"/>
      <c r="K37" s="51"/>
      <c r="L37" s="141"/>
    </row>
    <row r="38" spans="1:12" x14ac:dyDescent="0.25">
      <c r="A38" s="77"/>
      <c r="B38" s="77"/>
      <c r="C38" s="77"/>
      <c r="D38" s="77"/>
      <c r="E38" s="77"/>
      <c r="F38" s="77"/>
      <c r="G38" s="77" t="s">
        <v>26</v>
      </c>
      <c r="H38" s="77"/>
      <c r="I38" s="51">
        <v>1122.1600000000001</v>
      </c>
      <c r="J38" s="51">
        <v>371.1</v>
      </c>
      <c r="K38" s="51">
        <f t="shared" ref="K38:K44" si="0">ROUND((I38-J38),5)</f>
        <v>751.06</v>
      </c>
      <c r="L38" s="141">
        <f t="shared" ref="L38:L44" si="1">ROUND(IF(I38=0, IF(J38=0, 0, SIGN(-J38)), IF(J38=0, SIGN(I38), (I38-J38)/ABS(J38))),5)</f>
        <v>2.0238700000000001</v>
      </c>
    </row>
    <row r="39" spans="1:12" x14ac:dyDescent="0.25">
      <c r="A39" s="77"/>
      <c r="B39" s="77"/>
      <c r="C39" s="77"/>
      <c r="D39" s="77"/>
      <c r="E39" s="77"/>
      <c r="F39" s="77"/>
      <c r="G39" s="77" t="s">
        <v>7525</v>
      </c>
      <c r="H39" s="77"/>
      <c r="I39" s="51">
        <v>208.58</v>
      </c>
      <c r="J39" s="51">
        <v>507.08</v>
      </c>
      <c r="K39" s="51">
        <f t="shared" si="0"/>
        <v>-298.5</v>
      </c>
      <c r="L39" s="141">
        <f t="shared" si="1"/>
        <v>-0.58865999999999996</v>
      </c>
    </row>
    <row r="40" spans="1:12" ht="15.75" thickBot="1" x14ac:dyDescent="0.3">
      <c r="A40" s="77"/>
      <c r="B40" s="77"/>
      <c r="C40" s="77"/>
      <c r="D40" s="77"/>
      <c r="E40" s="77"/>
      <c r="F40" s="77"/>
      <c r="G40" s="77" t="s">
        <v>7521</v>
      </c>
      <c r="H40" s="77"/>
      <c r="I40" s="52">
        <v>0</v>
      </c>
      <c r="J40" s="52">
        <v>658</v>
      </c>
      <c r="K40" s="52">
        <f t="shared" si="0"/>
        <v>-658</v>
      </c>
      <c r="L40" s="143">
        <f t="shared" si="1"/>
        <v>-1</v>
      </c>
    </row>
    <row r="41" spans="1:12" x14ac:dyDescent="0.25">
      <c r="A41" s="77"/>
      <c r="B41" s="77"/>
      <c r="C41" s="77"/>
      <c r="D41" s="77"/>
      <c r="E41" s="77"/>
      <c r="F41" s="77" t="s">
        <v>27</v>
      </c>
      <c r="G41" s="77"/>
      <c r="H41" s="77"/>
      <c r="I41" s="51">
        <f>ROUND(SUM(I37:I40),5)</f>
        <v>1330.74</v>
      </c>
      <c r="J41" s="51">
        <f>ROUND(SUM(J37:J40),5)</f>
        <v>1536.18</v>
      </c>
      <c r="K41" s="51">
        <f t="shared" si="0"/>
        <v>-205.44</v>
      </c>
      <c r="L41" s="141">
        <f t="shared" si="1"/>
        <v>-0.13372999999999999</v>
      </c>
    </row>
    <row r="42" spans="1:12" x14ac:dyDescent="0.25">
      <c r="A42" s="77"/>
      <c r="B42" s="77"/>
      <c r="C42" s="77"/>
      <c r="D42" s="77"/>
      <c r="E42" s="77"/>
      <c r="F42" s="77" t="s">
        <v>7435</v>
      </c>
      <c r="G42" s="77"/>
      <c r="H42" s="77"/>
      <c r="I42" s="51">
        <v>156</v>
      </c>
      <c r="J42" s="51">
        <v>1500</v>
      </c>
      <c r="K42" s="51">
        <f t="shared" si="0"/>
        <v>-1344</v>
      </c>
      <c r="L42" s="141">
        <f t="shared" si="1"/>
        <v>-0.89600000000000002</v>
      </c>
    </row>
    <row r="43" spans="1:12" x14ac:dyDescent="0.25">
      <c r="A43" s="77"/>
      <c r="B43" s="77"/>
      <c r="C43" s="77"/>
      <c r="D43" s="77"/>
      <c r="E43" s="77"/>
      <c r="F43" s="77" t="s">
        <v>28</v>
      </c>
      <c r="G43" s="77"/>
      <c r="H43" s="77"/>
      <c r="I43" s="51">
        <v>370</v>
      </c>
      <c r="J43" s="51">
        <v>0</v>
      </c>
      <c r="K43" s="51">
        <f t="shared" si="0"/>
        <v>370</v>
      </c>
      <c r="L43" s="141">
        <f t="shared" si="1"/>
        <v>1</v>
      </c>
    </row>
    <row r="44" spans="1:12" x14ac:dyDescent="0.25">
      <c r="A44" s="77"/>
      <c r="B44" s="77"/>
      <c r="C44" s="77"/>
      <c r="D44" s="77"/>
      <c r="E44" s="77"/>
      <c r="F44" s="77" t="s">
        <v>236</v>
      </c>
      <c r="G44" s="77"/>
      <c r="H44" s="77"/>
      <c r="I44" s="51">
        <v>0</v>
      </c>
      <c r="J44" s="51">
        <v>120.87</v>
      </c>
      <c r="K44" s="51">
        <f t="shared" si="0"/>
        <v>-120.87</v>
      </c>
      <c r="L44" s="141">
        <f t="shared" si="1"/>
        <v>-1</v>
      </c>
    </row>
    <row r="45" spans="1:12" x14ac:dyDescent="0.25">
      <c r="A45" s="77"/>
      <c r="B45" s="77"/>
      <c r="C45" s="77"/>
      <c r="D45" s="77"/>
      <c r="E45" s="77"/>
      <c r="F45" s="77" t="s">
        <v>29</v>
      </c>
      <c r="G45" s="77"/>
      <c r="H45" s="77"/>
      <c r="I45" s="51"/>
      <c r="J45" s="51"/>
      <c r="K45" s="51"/>
      <c r="L45" s="141"/>
    </row>
    <row r="46" spans="1:12" x14ac:dyDescent="0.25">
      <c r="A46" s="77"/>
      <c r="B46" s="77"/>
      <c r="C46" s="77"/>
      <c r="D46" s="77"/>
      <c r="E46" s="77"/>
      <c r="F46" s="77"/>
      <c r="G46" s="77" t="s">
        <v>30</v>
      </c>
      <c r="H46" s="77"/>
      <c r="I46" s="51">
        <v>1770.15</v>
      </c>
      <c r="J46" s="51">
        <v>31.61</v>
      </c>
      <c r="K46" s="51">
        <f t="shared" ref="K46:K53" si="2">ROUND((I46-J46),5)</f>
        <v>1738.54</v>
      </c>
      <c r="L46" s="141">
        <f t="shared" ref="L46:L53" si="3">ROUND(IF(I46=0, IF(J46=0, 0, SIGN(-J46)), IF(J46=0, SIGN(I46), (I46-J46)/ABS(J46))),5)</f>
        <v>54.999679999999998</v>
      </c>
    </row>
    <row r="47" spans="1:12" ht="15.75" thickBot="1" x14ac:dyDescent="0.3">
      <c r="A47" s="77"/>
      <c r="B47" s="77"/>
      <c r="C47" s="77"/>
      <c r="D47" s="77"/>
      <c r="E47" s="77"/>
      <c r="F47" s="77"/>
      <c r="G47" s="77" t="s">
        <v>7467</v>
      </c>
      <c r="H47" s="77"/>
      <c r="I47" s="52">
        <v>67</v>
      </c>
      <c r="J47" s="52">
        <v>2724.86</v>
      </c>
      <c r="K47" s="52">
        <f t="shared" si="2"/>
        <v>-2657.86</v>
      </c>
      <c r="L47" s="143">
        <f t="shared" si="3"/>
        <v>-0.97541</v>
      </c>
    </row>
    <row r="48" spans="1:12" x14ac:dyDescent="0.25">
      <c r="A48" s="77"/>
      <c r="B48" s="77"/>
      <c r="C48" s="77"/>
      <c r="D48" s="77"/>
      <c r="E48" s="77"/>
      <c r="F48" s="77" t="s">
        <v>31</v>
      </c>
      <c r="G48" s="77"/>
      <c r="H48" s="77"/>
      <c r="I48" s="51">
        <f>ROUND(SUM(I45:I47),5)</f>
        <v>1837.15</v>
      </c>
      <c r="J48" s="51">
        <f>ROUND(SUM(J45:J47),5)</f>
        <v>2756.47</v>
      </c>
      <c r="K48" s="51">
        <f t="shared" si="2"/>
        <v>-919.32</v>
      </c>
      <c r="L48" s="141">
        <f t="shared" si="3"/>
        <v>-0.33350999999999997</v>
      </c>
    </row>
    <row r="49" spans="1:16" ht="15.75" thickBot="1" x14ac:dyDescent="0.3">
      <c r="A49" s="77"/>
      <c r="B49" s="77"/>
      <c r="C49" s="77"/>
      <c r="D49" s="77"/>
      <c r="E49" s="77"/>
      <c r="F49" s="77" t="s">
        <v>7466</v>
      </c>
      <c r="G49" s="77"/>
      <c r="H49" s="77"/>
      <c r="I49" s="52">
        <v>0</v>
      </c>
      <c r="J49" s="52">
        <v>5465.12</v>
      </c>
      <c r="K49" s="52">
        <f t="shared" si="2"/>
        <v>-5465.12</v>
      </c>
      <c r="L49" s="143">
        <f t="shared" si="3"/>
        <v>-1</v>
      </c>
    </row>
    <row r="50" spans="1:16" x14ac:dyDescent="0.25">
      <c r="A50" s="77"/>
      <c r="B50" s="77"/>
      <c r="C50" s="77"/>
      <c r="D50" s="77"/>
      <c r="E50" s="77" t="s">
        <v>32</v>
      </c>
      <c r="F50" s="77"/>
      <c r="G50" s="77"/>
      <c r="H50" s="77"/>
      <c r="I50" s="51">
        <f>ROUND(SUM(I33:I36)+SUM(I41:I44)+SUM(I48:I49),5)</f>
        <v>7676.95</v>
      </c>
      <c r="J50" s="51">
        <f>ROUND(SUM(J33:J36)+SUM(J41:J44)+SUM(J48:J49),5)</f>
        <v>15840.91</v>
      </c>
      <c r="K50" s="51">
        <f t="shared" si="2"/>
        <v>-8163.96</v>
      </c>
      <c r="L50" s="141">
        <f t="shared" si="3"/>
        <v>-0.51536999999999999</v>
      </c>
    </row>
    <row r="51" spans="1:16" x14ac:dyDescent="0.25">
      <c r="A51" s="77"/>
      <c r="B51" s="77"/>
      <c r="C51" s="77"/>
      <c r="D51" s="77"/>
      <c r="E51" s="77" t="s">
        <v>33</v>
      </c>
      <c r="F51" s="77"/>
      <c r="G51" s="77"/>
      <c r="H51" s="77"/>
      <c r="I51" s="51">
        <v>858.33</v>
      </c>
      <c r="J51" s="51">
        <v>2671.77</v>
      </c>
      <c r="K51" s="51">
        <f t="shared" si="2"/>
        <v>-1813.44</v>
      </c>
      <c r="L51" s="141">
        <f t="shared" si="3"/>
        <v>-0.67874000000000001</v>
      </c>
    </row>
    <row r="52" spans="1:16" x14ac:dyDescent="0.25">
      <c r="A52" s="77"/>
      <c r="B52" s="77"/>
      <c r="C52" s="77"/>
      <c r="D52" s="77"/>
      <c r="E52" s="77" t="s">
        <v>7465</v>
      </c>
      <c r="F52" s="77"/>
      <c r="G52" s="77"/>
      <c r="H52" s="77"/>
      <c r="I52" s="51">
        <v>0</v>
      </c>
      <c r="J52" s="51">
        <v>0</v>
      </c>
      <c r="K52" s="51">
        <f t="shared" si="2"/>
        <v>0</v>
      </c>
      <c r="L52" s="141">
        <f t="shared" si="3"/>
        <v>0</v>
      </c>
    </row>
    <row r="53" spans="1:16" x14ac:dyDescent="0.25">
      <c r="A53" s="77"/>
      <c r="B53" s="77"/>
      <c r="C53" s="77"/>
      <c r="D53" s="77"/>
      <c r="E53" s="77" t="s">
        <v>36</v>
      </c>
      <c r="F53" s="77"/>
      <c r="G53" s="77"/>
      <c r="H53" s="77"/>
      <c r="I53" s="51">
        <v>4230.88</v>
      </c>
      <c r="J53" s="51">
        <v>2962.29</v>
      </c>
      <c r="K53" s="51">
        <f t="shared" si="2"/>
        <v>1268.5899999999999</v>
      </c>
      <c r="L53" s="141">
        <f t="shared" si="3"/>
        <v>0.42825000000000002</v>
      </c>
    </row>
    <row r="54" spans="1:16" x14ac:dyDescent="0.25">
      <c r="A54" s="77"/>
      <c r="B54" s="77"/>
      <c r="C54" s="77"/>
      <c r="D54" s="77"/>
      <c r="E54" s="77" t="s">
        <v>39</v>
      </c>
      <c r="F54" s="77"/>
      <c r="G54" s="77"/>
      <c r="H54" s="77"/>
      <c r="I54" s="51"/>
      <c r="J54" s="51"/>
      <c r="K54" s="51"/>
      <c r="L54" s="141"/>
    </row>
    <row r="55" spans="1:16" x14ac:dyDescent="0.25">
      <c r="A55" s="77"/>
      <c r="B55" s="77"/>
      <c r="C55" s="77"/>
      <c r="D55" s="77"/>
      <c r="E55" s="77"/>
      <c r="F55" s="77" t="s">
        <v>7464</v>
      </c>
      <c r="G55" s="77"/>
      <c r="H55" s="77"/>
      <c r="I55" s="51">
        <v>0</v>
      </c>
      <c r="J55" s="51">
        <v>5000</v>
      </c>
      <c r="K55" s="51">
        <f>ROUND((I55-J55),5)</f>
        <v>-5000</v>
      </c>
      <c r="L55" s="141">
        <f>ROUND(IF(I55=0, IF(J55=0, 0, SIGN(-J55)), IF(J55=0, SIGN(I55), (I55-J55)/ABS(J55))),5)</f>
        <v>-1</v>
      </c>
    </row>
    <row r="56" spans="1:16" x14ac:dyDescent="0.25">
      <c r="A56" s="77"/>
      <c r="B56" s="77"/>
      <c r="C56" s="77"/>
      <c r="D56" s="77"/>
      <c r="E56" s="77"/>
      <c r="F56" s="77" t="s">
        <v>40</v>
      </c>
      <c r="G56" s="77"/>
      <c r="H56" s="77"/>
      <c r="I56" s="51">
        <v>48879.66</v>
      </c>
      <c r="J56" s="51">
        <v>42290</v>
      </c>
      <c r="K56" s="51">
        <f>ROUND((I56-J56),5)</f>
        <v>6589.66</v>
      </c>
      <c r="L56" s="141">
        <f>ROUND(IF(I56=0, IF(J56=0, 0, SIGN(-J56)), IF(J56=0, SIGN(I56), (I56-J56)/ABS(J56))),5)</f>
        <v>0.15581999999999999</v>
      </c>
    </row>
    <row r="57" spans="1:16" x14ac:dyDescent="0.25">
      <c r="A57" s="77"/>
      <c r="B57" s="77"/>
      <c r="C57" s="77"/>
      <c r="D57" s="77"/>
      <c r="E57" s="77"/>
      <c r="F57" s="77" t="s">
        <v>7832</v>
      </c>
      <c r="G57" s="77"/>
      <c r="H57" s="77"/>
      <c r="I57" s="51">
        <v>11298.96</v>
      </c>
      <c r="J57" s="51">
        <v>17755.45</v>
      </c>
      <c r="K57" s="51">
        <f>ROUND((I57-J57),5)</f>
        <v>-6456.49</v>
      </c>
      <c r="L57" s="141">
        <f>ROUND(IF(I57=0, IF(J57=0, 0, SIGN(-J57)), IF(J57=0, SIGN(I57), (I57-J57)/ABS(J57))),5)</f>
        <v>-0.36363000000000001</v>
      </c>
    </row>
    <row r="58" spans="1:16" ht="15.75" thickBot="1" x14ac:dyDescent="0.3">
      <c r="A58" s="77"/>
      <c r="B58" s="77"/>
      <c r="C58" s="77"/>
      <c r="D58" s="77"/>
      <c r="E58" s="77"/>
      <c r="F58" s="77" t="s">
        <v>7833</v>
      </c>
      <c r="G58" s="77"/>
      <c r="H58" s="77"/>
      <c r="I58" s="52">
        <v>7334.52</v>
      </c>
      <c r="J58" s="52">
        <v>0</v>
      </c>
      <c r="K58" s="52">
        <f>ROUND((I58-J58),5)</f>
        <v>7334.52</v>
      </c>
      <c r="L58" s="143">
        <f>ROUND(IF(I58=0, IF(J58=0, 0, SIGN(-J58)), IF(J58=0, SIGN(I58), (I58-J58)/ABS(J58))),5)</f>
        <v>1</v>
      </c>
      <c r="N58" s="75" t="s">
        <v>7799</v>
      </c>
      <c r="O58" s="58">
        <v>0.22231677883718848</v>
      </c>
      <c r="P58" s="43">
        <f>$I$59*O58</f>
        <v>15009.303813984143</v>
      </c>
    </row>
    <row r="59" spans="1:16" x14ac:dyDescent="0.25">
      <c r="A59" s="77"/>
      <c r="B59" s="77"/>
      <c r="C59" s="77"/>
      <c r="D59" s="77"/>
      <c r="E59" s="77" t="s">
        <v>42</v>
      </c>
      <c r="F59" s="77"/>
      <c r="G59" s="77"/>
      <c r="H59" s="77"/>
      <c r="I59" s="51">
        <f>ROUND(SUM(I54:I58),5)</f>
        <v>67513.14</v>
      </c>
      <c r="J59" s="51">
        <f>ROUND(SUM(J54:J58),5)</f>
        <v>65045.45</v>
      </c>
      <c r="K59" s="51">
        <f>ROUND((I59-J59),5)</f>
        <v>2467.69</v>
      </c>
      <c r="L59" s="141">
        <f>ROUND(IF(I59=0, IF(J59=0, 0, SIGN(-J59)), IF(J59=0, SIGN(I59), (I59-J59)/ABS(J59))),5)</f>
        <v>3.7940000000000002E-2</v>
      </c>
      <c r="N59" s="75" t="s">
        <v>7460</v>
      </c>
      <c r="O59" s="58">
        <v>0.22384322220756409</v>
      </c>
      <c r="P59" s="43">
        <f t="shared" ref="P59:P65" si="4">$I$59*O59</f>
        <v>15112.358798950383</v>
      </c>
    </row>
    <row r="60" spans="1:16" x14ac:dyDescent="0.25">
      <c r="A60" s="77"/>
      <c r="B60" s="77"/>
      <c r="C60" s="77"/>
      <c r="D60" s="77"/>
      <c r="E60" s="77" t="s">
        <v>43</v>
      </c>
      <c r="F60" s="77"/>
      <c r="G60" s="77"/>
      <c r="H60" s="77"/>
      <c r="I60" s="51"/>
      <c r="J60" s="51"/>
      <c r="K60" s="51"/>
      <c r="L60" s="141"/>
      <c r="N60" s="75" t="s">
        <v>232</v>
      </c>
      <c r="O60" s="58">
        <v>9.865101792954134E-2</v>
      </c>
      <c r="P60" s="43">
        <f t="shared" si="4"/>
        <v>6660.2399846196349</v>
      </c>
    </row>
    <row r="61" spans="1:16" x14ac:dyDescent="0.25">
      <c r="A61" s="77"/>
      <c r="B61" s="77"/>
      <c r="C61" s="77"/>
      <c r="D61" s="77"/>
      <c r="E61" s="77"/>
      <c r="F61" s="77" t="s">
        <v>7712</v>
      </c>
      <c r="G61" s="77"/>
      <c r="H61" s="77"/>
      <c r="I61" s="51">
        <v>-11.19</v>
      </c>
      <c r="J61" s="51">
        <v>0</v>
      </c>
      <c r="K61" s="51">
        <f t="shared" ref="K61:K69" si="5">ROUND((I61-J61),5)</f>
        <v>-11.19</v>
      </c>
      <c r="L61" s="141">
        <f t="shared" ref="L61:L69" si="6">ROUND(IF(I61=0, IF(J61=0, 0, SIGN(-J61)), IF(J61=0, SIGN(I61), (I61-J61)/ABS(J61))),5)</f>
        <v>-1</v>
      </c>
      <c r="N61" s="75" t="s">
        <v>7462</v>
      </c>
      <c r="O61" s="58">
        <v>8.1190914499728761E-2</v>
      </c>
      <c r="P61" s="43">
        <f t="shared" si="4"/>
        <v>5481.4535773482176</v>
      </c>
    </row>
    <row r="62" spans="1:16" x14ac:dyDescent="0.25">
      <c r="A62" s="77"/>
      <c r="B62" s="77"/>
      <c r="C62" s="77"/>
      <c r="D62" s="77"/>
      <c r="E62" s="77"/>
      <c r="F62" s="77" t="s">
        <v>7437</v>
      </c>
      <c r="G62" s="77"/>
      <c r="H62" s="77"/>
      <c r="I62" s="51">
        <v>720.15</v>
      </c>
      <c r="J62" s="51">
        <v>0</v>
      </c>
      <c r="K62" s="51">
        <f t="shared" si="5"/>
        <v>720.15</v>
      </c>
      <c r="L62" s="141">
        <f t="shared" si="6"/>
        <v>1</v>
      </c>
      <c r="N62" s="75" t="s">
        <v>231</v>
      </c>
      <c r="O62" s="58">
        <v>5.5607492361867197E-2</v>
      </c>
      <c r="P62" s="43">
        <f t="shared" si="4"/>
        <v>3754.2364168756708</v>
      </c>
    </row>
    <row r="63" spans="1:16" x14ac:dyDescent="0.25">
      <c r="A63" s="77"/>
      <c r="B63" s="77"/>
      <c r="C63" s="77"/>
      <c r="D63" s="77"/>
      <c r="E63" s="77"/>
      <c r="F63" s="77" t="s">
        <v>7438</v>
      </c>
      <c r="G63" s="77"/>
      <c r="H63" s="77"/>
      <c r="I63" s="51">
        <v>3541.01</v>
      </c>
      <c r="J63" s="51">
        <v>3845.77</v>
      </c>
      <c r="K63" s="51">
        <f t="shared" si="5"/>
        <v>-304.76</v>
      </c>
      <c r="L63" s="141">
        <f t="shared" si="6"/>
        <v>-7.9250000000000001E-2</v>
      </c>
      <c r="N63" s="75" t="s">
        <v>7463</v>
      </c>
      <c r="O63" s="58">
        <v>6.75906395225154E-2</v>
      </c>
      <c r="P63" s="43">
        <f t="shared" si="4"/>
        <v>4563.2563087731151</v>
      </c>
    </row>
    <row r="64" spans="1:16" ht="15.75" thickBot="1" x14ac:dyDescent="0.3">
      <c r="A64" s="77"/>
      <c r="B64" s="77"/>
      <c r="C64" s="77"/>
      <c r="D64" s="77"/>
      <c r="E64" s="77"/>
      <c r="F64" s="77" t="s">
        <v>44</v>
      </c>
      <c r="G64" s="77"/>
      <c r="H64" s="77"/>
      <c r="I64" s="52">
        <v>9000</v>
      </c>
      <c r="J64" s="52">
        <v>9000</v>
      </c>
      <c r="K64" s="52">
        <f t="shared" si="5"/>
        <v>0</v>
      </c>
      <c r="L64" s="143">
        <f t="shared" si="6"/>
        <v>0</v>
      </c>
      <c r="N64" s="75" t="s">
        <v>7439</v>
      </c>
      <c r="O64" s="58">
        <v>0.16651261284579766</v>
      </c>
      <c r="P64" s="43">
        <f t="shared" si="4"/>
        <v>11241.789342824135</v>
      </c>
    </row>
    <row r="65" spans="1:16" x14ac:dyDescent="0.25">
      <c r="A65" s="77"/>
      <c r="B65" s="77"/>
      <c r="C65" s="77"/>
      <c r="D65" s="77"/>
      <c r="E65" s="77" t="s">
        <v>45</v>
      </c>
      <c r="F65" s="77"/>
      <c r="G65" s="77"/>
      <c r="H65" s="77"/>
      <c r="I65" s="51">
        <f>ROUND(SUM(I60:I64),5)</f>
        <v>13249.97</v>
      </c>
      <c r="J65" s="51">
        <f>ROUND(SUM(J60:J64),5)</f>
        <v>12845.77</v>
      </c>
      <c r="K65" s="51">
        <f t="shared" si="5"/>
        <v>404.2</v>
      </c>
      <c r="L65" s="141">
        <f t="shared" si="6"/>
        <v>3.1469999999999998E-2</v>
      </c>
      <c r="N65" s="75" t="s">
        <v>201</v>
      </c>
      <c r="O65" s="58">
        <v>8.4287321795797204E-2</v>
      </c>
      <c r="P65" s="43">
        <f t="shared" si="4"/>
        <v>5690.5017566247079</v>
      </c>
    </row>
    <row r="66" spans="1:16" ht="15.75" thickBot="1" x14ac:dyDescent="0.3">
      <c r="A66" s="77"/>
      <c r="B66" s="77"/>
      <c r="C66" s="77"/>
      <c r="D66" s="77"/>
      <c r="E66" s="77" t="s">
        <v>46</v>
      </c>
      <c r="F66" s="77"/>
      <c r="G66" s="77"/>
      <c r="H66" s="77"/>
      <c r="I66" s="51">
        <v>223.65</v>
      </c>
      <c r="J66" s="51">
        <v>4887.04</v>
      </c>
      <c r="K66" s="51">
        <f t="shared" si="5"/>
        <v>-4663.3900000000003</v>
      </c>
      <c r="L66" s="141">
        <f t="shared" si="6"/>
        <v>-0.95423999999999998</v>
      </c>
      <c r="P66" s="43">
        <f>SUM(P58:P65)</f>
        <v>67513.140000000014</v>
      </c>
    </row>
    <row r="67" spans="1:16" ht="15.75" thickBot="1" x14ac:dyDescent="0.3">
      <c r="A67" s="77"/>
      <c r="B67" s="77"/>
      <c r="C67" s="77"/>
      <c r="D67" s="77" t="s">
        <v>47</v>
      </c>
      <c r="E67" s="77"/>
      <c r="F67" s="77"/>
      <c r="G67" s="77"/>
      <c r="H67" s="77"/>
      <c r="I67" s="89">
        <f>ROUND(I28+I32+SUM(I50:I53)+I59+SUM(I65:I66),5)</f>
        <v>101374.59</v>
      </c>
      <c r="J67" s="89">
        <f>ROUND(J28+J32+SUM(J50:J53)+J59+SUM(J65:J66),5)</f>
        <v>126663.23</v>
      </c>
      <c r="K67" s="89">
        <f t="shared" si="5"/>
        <v>-25288.639999999999</v>
      </c>
      <c r="L67" s="140">
        <f t="shared" si="6"/>
        <v>-0.19964999999999999</v>
      </c>
    </row>
    <row r="68" spans="1:16" ht="15.75" thickBot="1" x14ac:dyDescent="0.3">
      <c r="A68" s="77"/>
      <c r="B68" s="77" t="s">
        <v>48</v>
      </c>
      <c r="C68" s="77"/>
      <c r="D68" s="77"/>
      <c r="E68" s="77"/>
      <c r="F68" s="77"/>
      <c r="G68" s="77"/>
      <c r="H68" s="77"/>
      <c r="I68" s="89">
        <f>ROUND(I3+I27-I67,5)</f>
        <v>-17657.22</v>
      </c>
      <c r="J68" s="89">
        <f>ROUND(J3+J27-J67,5)</f>
        <v>-58159.8</v>
      </c>
      <c r="K68" s="89">
        <f t="shared" si="5"/>
        <v>40502.58</v>
      </c>
      <c r="L68" s="140">
        <f t="shared" si="6"/>
        <v>0.69640000000000002</v>
      </c>
    </row>
    <row r="69" spans="1:16" ht="15.75" thickBot="1" x14ac:dyDescent="0.3">
      <c r="A69" s="77" t="s">
        <v>49</v>
      </c>
      <c r="B69" s="77"/>
      <c r="C69" s="77"/>
      <c r="D69" s="77"/>
      <c r="E69" s="77"/>
      <c r="F69" s="77"/>
      <c r="G69" s="77"/>
      <c r="H69" s="77"/>
      <c r="I69" s="55">
        <f>I68</f>
        <v>-17657.22</v>
      </c>
      <c r="J69" s="55">
        <f>J68</f>
        <v>-58159.8</v>
      </c>
      <c r="K69" s="55">
        <f t="shared" si="5"/>
        <v>40502.58</v>
      </c>
      <c r="L69" s="139">
        <f t="shared" si="6"/>
        <v>0.69640000000000002</v>
      </c>
    </row>
    <row r="70" spans="1:16" ht="15.75" thickTop="1" x14ac:dyDescent="0.25"/>
    <row r="71" spans="1:16" s="96" customFormat="1" x14ac:dyDescent="0.25">
      <c r="A71" s="2"/>
      <c r="B71" s="2"/>
      <c r="C71" s="2"/>
      <c r="D71" s="2"/>
      <c r="E71" s="2"/>
      <c r="F71" s="2"/>
      <c r="G71" s="2"/>
      <c r="H71" s="2"/>
      <c r="I71" s="75"/>
      <c r="J71" s="75"/>
      <c r="K71" s="75"/>
      <c r="L71" s="75"/>
    </row>
    <row r="72" spans="1:16" s="96" customFormat="1" x14ac:dyDescent="0.25">
      <c r="A72" s="2"/>
      <c r="B72" s="2"/>
      <c r="C72" s="2"/>
      <c r="D72" s="2"/>
      <c r="E72" s="2"/>
      <c r="F72" s="2"/>
      <c r="G72" s="2"/>
      <c r="H72" s="2"/>
      <c r="I72" s="75"/>
      <c r="J72" s="75"/>
      <c r="K72" s="75"/>
      <c r="L72" s="75"/>
    </row>
    <row r="73" spans="1:16" s="96" customFormat="1" x14ac:dyDescent="0.25">
      <c r="A73" s="2"/>
      <c r="B73" s="2"/>
      <c r="C73" s="2"/>
      <c r="D73" s="2"/>
      <c r="E73" s="2"/>
      <c r="F73" s="2"/>
      <c r="G73" s="2"/>
      <c r="H73" s="2"/>
      <c r="I73" s="75"/>
      <c r="J73" s="75"/>
      <c r="K73" s="75"/>
      <c r="L73" s="75"/>
    </row>
    <row r="74" spans="1:16" s="96" customFormat="1" x14ac:dyDescent="0.25">
      <c r="A74" s="2"/>
      <c r="B74" s="2"/>
      <c r="C74" s="2"/>
      <c r="D74" s="2"/>
      <c r="E74" s="2"/>
      <c r="F74" s="2"/>
      <c r="G74" s="2"/>
      <c r="H74" s="2"/>
      <c r="I74" s="75"/>
      <c r="J74" s="75"/>
      <c r="K74" s="75"/>
      <c r="L74" s="75"/>
    </row>
    <row r="75" spans="1:16" s="96" customFormat="1" x14ac:dyDescent="0.25">
      <c r="A75" s="2"/>
      <c r="B75" s="2"/>
      <c r="C75" s="2"/>
      <c r="D75" s="2"/>
      <c r="E75" s="2"/>
      <c r="F75" s="2"/>
      <c r="G75" s="2"/>
      <c r="H75" s="2"/>
      <c r="I75" s="75"/>
      <c r="J75" s="75"/>
      <c r="K75" s="75"/>
      <c r="L75" s="75"/>
    </row>
    <row r="76" spans="1:16" s="95" customFormat="1" x14ac:dyDescent="0.25">
      <c r="A76" s="2"/>
      <c r="B76" s="2"/>
      <c r="C76" s="2"/>
      <c r="D76" s="2"/>
      <c r="E76" s="2"/>
      <c r="F76" s="2"/>
      <c r="G76" s="2"/>
      <c r="H76" s="2"/>
      <c r="I76" s="75"/>
      <c r="J76" s="75"/>
      <c r="K76" s="75"/>
      <c r="L76" s="75"/>
    </row>
    <row r="77" spans="1:16" s="96" customFormat="1" x14ac:dyDescent="0.25">
      <c r="A77" s="2"/>
      <c r="B77" s="2"/>
      <c r="C77" s="2"/>
      <c r="D77" s="2"/>
      <c r="E77" s="2"/>
      <c r="F77" s="2"/>
      <c r="G77" s="2"/>
      <c r="H77" s="2"/>
      <c r="I77" s="75"/>
      <c r="J77" s="75"/>
      <c r="K77" s="75"/>
      <c r="L77" s="75"/>
    </row>
  </sheetData>
  <hyperlinks>
    <hyperlink ref="M2" location="Contents!A1" display="Contents" xr:uid="{02F79320-7F09-4D5D-A418-D0B9299A05FE}"/>
  </hyperlinks>
  <pageMargins left="0.7" right="0.7" top="0.75" bottom="0.75" header="0.3" footer="0.3"/>
  <pageSetup scale="69" orientation="portrait" r:id="rId1"/>
  <drawing r:id="rId2"/>
  <legacyDrawing r:id="rId3"/>
  <controls>
    <mc:AlternateContent xmlns:mc="http://schemas.openxmlformats.org/markup-compatibility/2006">
      <mc:Choice Requires="x14">
        <control shapeId="87042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2" r:id="rId4" name="TextBox2"/>
      </mc:Fallback>
    </mc:AlternateContent>
    <mc:AlternateContent xmlns:mc="http://schemas.openxmlformats.org/markup-compatibility/2006">
      <mc:Choice Requires="x14">
        <control shapeId="87041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1" r:id="rId6" name="TextBox1"/>
      </mc:Fallback>
    </mc:AlternateContent>
    <mc:AlternateContent xmlns:mc="http://schemas.openxmlformats.org/markup-compatibility/2006">
      <mc:Choice Requires="x14">
        <control shapeId="87043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3" r:id="rId8" name="TextBox3"/>
      </mc:Fallback>
    </mc:AlternateContent>
    <mc:AlternateContent xmlns:mc="http://schemas.openxmlformats.org/markup-compatibility/2006">
      <mc:Choice Requires="x14">
        <control shapeId="87044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4" r:id="rId10" name="TextBox4"/>
      </mc:Fallback>
    </mc:AlternateContent>
    <mc:AlternateContent xmlns:mc="http://schemas.openxmlformats.org/markup-compatibility/2006">
      <mc:Choice Requires="x14">
        <control shapeId="87045" r:id="rId12" name="TextBox5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5" r:id="rId12" name="TextBox5"/>
      </mc:Fallback>
    </mc:AlternateContent>
    <mc:AlternateContent xmlns:mc="http://schemas.openxmlformats.org/markup-compatibility/2006">
      <mc:Choice Requires="x14">
        <control shapeId="87046" r:id="rId14" name="TextBox6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6" r:id="rId14" name="TextBox6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sheetPr>
    <pageSetUpPr fitToPage="1"/>
  </sheetPr>
  <dimension ref="A1:S92"/>
  <sheetViews>
    <sheetView zoomScale="160" zoomScaleNormal="160" workbookViewId="0">
      <pane xSplit="7" ySplit="2" topLeftCell="H83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7" width="3" style="2" customWidth="1"/>
    <col min="8" max="8" width="27.5703125" style="2" customWidth="1"/>
    <col min="9" max="10" width="10.42578125" style="75" bestFit="1" customWidth="1"/>
    <col min="11" max="11" width="8.42578125" style="75" bestFit="1" customWidth="1"/>
    <col min="12" max="12" width="8.7109375" style="75" bestFit="1" customWidth="1"/>
    <col min="13" max="16" width="9.140625" style="75"/>
    <col min="17" max="17" width="11" style="75" customWidth="1"/>
    <col min="18" max="18" width="10.28515625" style="75" customWidth="1"/>
    <col min="19" max="16384" width="9.140625" style="75"/>
  </cols>
  <sheetData>
    <row r="1" spans="1:13" s="3" customFormat="1" ht="15.75" thickBot="1" x14ac:dyDescent="0.3">
      <c r="A1" s="77"/>
      <c r="B1" s="77"/>
      <c r="C1" s="77"/>
      <c r="D1" s="77"/>
      <c r="E1" s="77"/>
      <c r="F1" s="77"/>
      <c r="G1" s="77"/>
      <c r="H1" s="77"/>
      <c r="I1" s="105"/>
      <c r="J1" s="105"/>
      <c r="K1" s="105"/>
      <c r="L1" s="105"/>
    </row>
    <row r="2" spans="1:13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4" t="s">
        <v>7859</v>
      </c>
      <c r="J2" s="104" t="s">
        <v>7862</v>
      </c>
      <c r="K2" s="104" t="s">
        <v>7739</v>
      </c>
      <c r="L2" s="104" t="s">
        <v>7738</v>
      </c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1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1"/>
    </row>
    <row r="5" spans="1:13" x14ac:dyDescent="0.25">
      <c r="A5" s="77"/>
      <c r="B5" s="77"/>
      <c r="C5" s="77"/>
      <c r="D5" s="77"/>
      <c r="E5" s="77" t="s">
        <v>7709</v>
      </c>
      <c r="F5" s="77"/>
      <c r="G5" s="77"/>
      <c r="H5" s="77"/>
      <c r="I5" s="51">
        <v>0.92</v>
      </c>
      <c r="J5" s="51">
        <v>0.92</v>
      </c>
      <c r="K5" s="51">
        <f>ROUND((I5-J5),5)</f>
        <v>0</v>
      </c>
      <c r="L5" s="141">
        <f>ROUND(IF(I5=0, IF(J5=0, 0, SIGN(-J5)), IF(J5=0, SIGN(I5), (I5-J5)/ABS(J5))),5)</f>
        <v>0</v>
      </c>
    </row>
    <row r="6" spans="1:13" x14ac:dyDescent="0.25">
      <c r="A6" s="77"/>
      <c r="B6" s="77"/>
      <c r="C6" s="77"/>
      <c r="D6" s="77"/>
      <c r="E6" s="77" t="s">
        <v>5</v>
      </c>
      <c r="F6" s="77"/>
      <c r="G6" s="77"/>
      <c r="H6" s="77"/>
      <c r="I6" s="51"/>
      <c r="J6" s="51"/>
      <c r="K6" s="51"/>
      <c r="L6" s="141"/>
    </row>
    <row r="7" spans="1:13" x14ac:dyDescent="0.25">
      <c r="A7" s="77"/>
      <c r="B7" s="77"/>
      <c r="C7" s="77"/>
      <c r="D7" s="77"/>
      <c r="E7" s="77"/>
      <c r="F7" s="77" t="s">
        <v>7830</v>
      </c>
      <c r="G7" s="77"/>
      <c r="H7" s="77"/>
      <c r="I7" s="51">
        <v>6335</v>
      </c>
      <c r="J7" s="51">
        <v>0</v>
      </c>
      <c r="K7" s="51">
        <f t="shared" ref="K7:K13" si="0">ROUND((I7-J7),5)</f>
        <v>6335</v>
      </c>
      <c r="L7" s="141">
        <f t="shared" ref="L7:L13" si="1">ROUND(IF(I7=0, IF(J7=0, 0, SIGN(-J7)), IF(J7=0, SIGN(I7), (I7-J7)/ABS(J7))),5)</f>
        <v>1</v>
      </c>
    </row>
    <row r="8" spans="1:13" x14ac:dyDescent="0.25">
      <c r="A8" s="77"/>
      <c r="B8" s="77"/>
      <c r="C8" s="77"/>
      <c r="D8" s="77"/>
      <c r="E8" s="77"/>
      <c r="F8" s="77" t="s">
        <v>6</v>
      </c>
      <c r="G8" s="77"/>
      <c r="H8" s="77"/>
      <c r="I8" s="51">
        <v>0</v>
      </c>
      <c r="J8" s="51">
        <v>46700</v>
      </c>
      <c r="K8" s="51">
        <f t="shared" si="0"/>
        <v>-46700</v>
      </c>
      <c r="L8" s="141">
        <f t="shared" si="1"/>
        <v>-1</v>
      </c>
    </row>
    <row r="9" spans="1:13" x14ac:dyDescent="0.25">
      <c r="A9" s="77"/>
      <c r="B9" s="77"/>
      <c r="C9" s="77"/>
      <c r="D9" s="77"/>
      <c r="E9" s="77"/>
      <c r="F9" s="77" t="s">
        <v>7477</v>
      </c>
      <c r="G9" s="77"/>
      <c r="H9" s="77"/>
      <c r="I9" s="51">
        <v>5000</v>
      </c>
      <c r="J9" s="51">
        <v>0</v>
      </c>
      <c r="K9" s="51">
        <f t="shared" si="0"/>
        <v>5000</v>
      </c>
      <c r="L9" s="141">
        <f t="shared" si="1"/>
        <v>1</v>
      </c>
    </row>
    <row r="10" spans="1:13" x14ac:dyDescent="0.25">
      <c r="A10" s="77"/>
      <c r="B10" s="77"/>
      <c r="C10" s="77"/>
      <c r="D10" s="77"/>
      <c r="E10" s="77"/>
      <c r="F10" s="77" t="s">
        <v>5224</v>
      </c>
      <c r="G10" s="77"/>
      <c r="H10" s="77"/>
      <c r="I10" s="51">
        <v>3500</v>
      </c>
      <c r="J10" s="51">
        <v>1756.5</v>
      </c>
      <c r="K10" s="51">
        <f t="shared" si="0"/>
        <v>1743.5</v>
      </c>
      <c r="L10" s="141">
        <f t="shared" si="1"/>
        <v>0.99260000000000004</v>
      </c>
    </row>
    <row r="11" spans="1:13" x14ac:dyDescent="0.25">
      <c r="A11" s="77"/>
      <c r="B11" s="77"/>
      <c r="C11" s="77"/>
      <c r="D11" s="77"/>
      <c r="E11" s="77"/>
      <c r="F11" s="77" t="s">
        <v>7</v>
      </c>
      <c r="G11" s="77"/>
      <c r="H11" s="77"/>
      <c r="I11" s="51">
        <v>57646.75</v>
      </c>
      <c r="J11" s="51">
        <v>7730.7</v>
      </c>
      <c r="K11" s="51">
        <f t="shared" si="0"/>
        <v>49916.05</v>
      </c>
      <c r="L11" s="141">
        <f t="shared" si="1"/>
        <v>6.4568599999999998</v>
      </c>
    </row>
    <row r="12" spans="1:13" ht="15.75" thickBot="1" x14ac:dyDescent="0.3">
      <c r="A12" s="77"/>
      <c r="B12" s="77"/>
      <c r="C12" s="77"/>
      <c r="D12" s="77"/>
      <c r="E12" s="77"/>
      <c r="F12" s="77" t="s">
        <v>7815</v>
      </c>
      <c r="G12" s="77"/>
      <c r="H12" s="77"/>
      <c r="I12" s="52">
        <v>22615.15</v>
      </c>
      <c r="J12" s="52">
        <v>0</v>
      </c>
      <c r="K12" s="52">
        <f t="shared" si="0"/>
        <v>22615.15</v>
      </c>
      <c r="L12" s="143">
        <f t="shared" si="1"/>
        <v>1</v>
      </c>
    </row>
    <row r="13" spans="1:13" x14ac:dyDescent="0.25">
      <c r="A13" s="77"/>
      <c r="B13" s="77"/>
      <c r="C13" s="77"/>
      <c r="D13" s="77"/>
      <c r="E13" s="77" t="s">
        <v>8</v>
      </c>
      <c r="F13" s="77"/>
      <c r="G13" s="77"/>
      <c r="H13" s="77"/>
      <c r="I13" s="51">
        <f>ROUND(SUM(I6:I12),5)</f>
        <v>95096.9</v>
      </c>
      <c r="J13" s="51">
        <f>ROUND(SUM(J6:J12),5)</f>
        <v>56187.199999999997</v>
      </c>
      <c r="K13" s="51">
        <f t="shared" si="0"/>
        <v>38909.699999999997</v>
      </c>
      <c r="L13" s="141">
        <f t="shared" si="1"/>
        <v>0.6925</v>
      </c>
    </row>
    <row r="14" spans="1:13" x14ac:dyDescent="0.25">
      <c r="A14" s="77"/>
      <c r="B14" s="77"/>
      <c r="C14" s="77"/>
      <c r="D14" s="77"/>
      <c r="E14" s="77" t="s">
        <v>9</v>
      </c>
      <c r="F14" s="77"/>
      <c r="G14" s="77"/>
      <c r="H14" s="77"/>
      <c r="I14" s="51"/>
      <c r="J14" s="51"/>
      <c r="K14" s="51"/>
      <c r="L14" s="141"/>
    </row>
    <row r="15" spans="1:13" x14ac:dyDescent="0.25">
      <c r="A15" s="77"/>
      <c r="B15" s="77"/>
      <c r="C15" s="77"/>
      <c r="D15" s="77"/>
      <c r="E15" s="77"/>
      <c r="F15" s="77" t="s">
        <v>10</v>
      </c>
      <c r="G15" s="77"/>
      <c r="H15" s="77"/>
      <c r="I15" s="51">
        <v>216858.56</v>
      </c>
      <c r="J15" s="51">
        <v>144300</v>
      </c>
      <c r="K15" s="51">
        <f>ROUND((I15-J15),5)</f>
        <v>72558.559999999998</v>
      </c>
      <c r="L15" s="141">
        <f>ROUND(IF(I15=0, IF(J15=0, 0, SIGN(-J15)), IF(J15=0, SIGN(I15), (I15-J15)/ABS(J15))),5)</f>
        <v>0.50283</v>
      </c>
    </row>
    <row r="16" spans="1:13" x14ac:dyDescent="0.25">
      <c r="A16" s="77"/>
      <c r="B16" s="77"/>
      <c r="C16" s="77"/>
      <c r="D16" s="77"/>
      <c r="E16" s="77"/>
      <c r="F16" s="77" t="s">
        <v>7798</v>
      </c>
      <c r="G16" s="77"/>
      <c r="H16" s="77"/>
      <c r="I16" s="51">
        <v>500</v>
      </c>
      <c r="J16" s="51">
        <v>0</v>
      </c>
      <c r="K16" s="51">
        <f>ROUND((I16-J16),5)</f>
        <v>500</v>
      </c>
      <c r="L16" s="141">
        <f>ROUND(IF(I16=0, IF(J16=0, 0, SIGN(-J16)), IF(J16=0, SIGN(I16), (I16-J16)/ABS(J16))),5)</f>
        <v>1</v>
      </c>
    </row>
    <row r="17" spans="1:12" ht="15.75" thickBot="1" x14ac:dyDescent="0.3">
      <c r="A17" s="77"/>
      <c r="B17" s="77"/>
      <c r="C17" s="77"/>
      <c r="D17" s="77"/>
      <c r="E17" s="77"/>
      <c r="F17" s="77" t="s">
        <v>11</v>
      </c>
      <c r="G17" s="77"/>
      <c r="H17" s="77"/>
      <c r="I17" s="52">
        <v>117654.78</v>
      </c>
      <c r="J17" s="52">
        <v>122502</v>
      </c>
      <c r="K17" s="52">
        <f>ROUND((I17-J17),5)</f>
        <v>-4847.22</v>
      </c>
      <c r="L17" s="143">
        <f>ROUND(IF(I17=0, IF(J17=0, 0, SIGN(-J17)), IF(J17=0, SIGN(I17), (I17-J17)/ABS(J17))),5)</f>
        <v>-3.9570000000000001E-2</v>
      </c>
    </row>
    <row r="18" spans="1:12" x14ac:dyDescent="0.25">
      <c r="A18" s="77"/>
      <c r="B18" s="77"/>
      <c r="C18" s="77"/>
      <c r="D18" s="77"/>
      <c r="E18" s="77" t="s">
        <v>12</v>
      </c>
      <c r="F18" s="77"/>
      <c r="G18" s="77"/>
      <c r="H18" s="77"/>
      <c r="I18" s="51">
        <f>ROUND(SUM(I14:I17),5)</f>
        <v>335013.34000000003</v>
      </c>
      <c r="J18" s="51">
        <f>ROUND(SUM(J14:J17),5)</f>
        <v>266802</v>
      </c>
      <c r="K18" s="51">
        <f>ROUND((I18-J18),5)</f>
        <v>68211.34</v>
      </c>
      <c r="L18" s="141">
        <f>ROUND(IF(I18=0, IF(J18=0, 0, SIGN(-J18)), IF(J18=0, SIGN(I18), (I18-J18)/ABS(J18))),5)</f>
        <v>0.25566</v>
      </c>
    </row>
    <row r="19" spans="1:12" x14ac:dyDescent="0.25">
      <c r="A19" s="77"/>
      <c r="B19" s="77"/>
      <c r="C19" s="77"/>
      <c r="D19" s="77"/>
      <c r="E19" s="77" t="s">
        <v>7480</v>
      </c>
      <c r="F19" s="77"/>
      <c r="G19" s="77"/>
      <c r="H19" s="77"/>
      <c r="I19" s="51"/>
      <c r="J19" s="51"/>
      <c r="K19" s="51"/>
      <c r="L19" s="141"/>
    </row>
    <row r="20" spans="1:12" x14ac:dyDescent="0.25">
      <c r="A20" s="77"/>
      <c r="B20" s="77"/>
      <c r="C20" s="77"/>
      <c r="D20" s="77"/>
      <c r="E20" s="77"/>
      <c r="F20" s="77" t="s">
        <v>7479</v>
      </c>
      <c r="G20" s="77"/>
      <c r="H20" s="77"/>
      <c r="I20" s="51"/>
      <c r="J20" s="51"/>
      <c r="K20" s="51"/>
      <c r="L20" s="141"/>
    </row>
    <row r="21" spans="1:12" x14ac:dyDescent="0.25">
      <c r="A21" s="77"/>
      <c r="B21" s="77"/>
      <c r="C21" s="77"/>
      <c r="D21" s="77"/>
      <c r="E21" s="77"/>
      <c r="F21" s="77"/>
      <c r="G21" s="77" t="s">
        <v>7478</v>
      </c>
      <c r="H21" s="77"/>
      <c r="I21" s="51"/>
      <c r="J21" s="51"/>
      <c r="K21" s="51"/>
      <c r="L21" s="141"/>
    </row>
    <row r="22" spans="1:12" ht="15.75" thickBot="1" x14ac:dyDescent="0.3">
      <c r="A22" s="77"/>
      <c r="B22" s="77"/>
      <c r="C22" s="77"/>
      <c r="D22" s="77"/>
      <c r="E22" s="77"/>
      <c r="F22" s="77"/>
      <c r="G22" s="77"/>
      <c r="H22" s="77" t="s">
        <v>7477</v>
      </c>
      <c r="I22" s="51">
        <v>0</v>
      </c>
      <c r="J22" s="51">
        <v>5000</v>
      </c>
      <c r="K22" s="51">
        <f>ROUND((I22-J22),5)</f>
        <v>-5000</v>
      </c>
      <c r="L22" s="141">
        <f>ROUND(IF(I22=0, IF(J22=0, 0, SIGN(-J22)), IF(J22=0, SIGN(I22), (I22-J22)/ABS(J22))),5)</f>
        <v>-1</v>
      </c>
    </row>
    <row r="23" spans="1:12" ht="15.75" thickBot="1" x14ac:dyDescent="0.3">
      <c r="A23" s="77"/>
      <c r="B23" s="77"/>
      <c r="C23" s="77"/>
      <c r="D23" s="77"/>
      <c r="E23" s="77"/>
      <c r="F23" s="77"/>
      <c r="G23" s="77" t="s">
        <v>7476</v>
      </c>
      <c r="H23" s="77"/>
      <c r="I23" s="89">
        <f>ROUND(SUM(I21:I22),5)</f>
        <v>0</v>
      </c>
      <c r="J23" s="89">
        <f>ROUND(SUM(J21:J22),5)</f>
        <v>5000</v>
      </c>
      <c r="K23" s="89">
        <f>ROUND((I23-J23),5)</f>
        <v>-5000</v>
      </c>
      <c r="L23" s="140">
        <f>ROUND(IF(I23=0, IF(J23=0, 0, SIGN(-J23)), IF(J23=0, SIGN(I23), (I23-J23)/ABS(J23))),5)</f>
        <v>-1</v>
      </c>
    </row>
    <row r="24" spans="1:12" ht="15.75" thickBot="1" x14ac:dyDescent="0.3">
      <c r="A24" s="77"/>
      <c r="B24" s="77"/>
      <c r="C24" s="77"/>
      <c r="D24" s="77"/>
      <c r="E24" s="77"/>
      <c r="F24" s="77" t="s">
        <v>7475</v>
      </c>
      <c r="G24" s="77"/>
      <c r="H24" s="77"/>
      <c r="I24" s="54">
        <f>ROUND(I20+I23,5)</f>
        <v>0</v>
      </c>
      <c r="J24" s="54">
        <f>ROUND(J20+J23,5)</f>
        <v>5000</v>
      </c>
      <c r="K24" s="54">
        <f>ROUND((I24-J24),5)</f>
        <v>-5000</v>
      </c>
      <c r="L24" s="142">
        <f>ROUND(IF(I24=0, IF(J24=0, 0, SIGN(-J24)), IF(J24=0, SIGN(I24), (I24-J24)/ABS(J24))),5)</f>
        <v>-1</v>
      </c>
    </row>
    <row r="25" spans="1:12" x14ac:dyDescent="0.25">
      <c r="A25" s="77"/>
      <c r="B25" s="77"/>
      <c r="C25" s="77"/>
      <c r="D25" s="77"/>
      <c r="E25" s="77" t="s">
        <v>7474</v>
      </c>
      <c r="F25" s="77"/>
      <c r="G25" s="77"/>
      <c r="H25" s="77"/>
      <c r="I25" s="51">
        <f>ROUND(I19+I24,5)</f>
        <v>0</v>
      </c>
      <c r="J25" s="51">
        <f>ROUND(J19+J24,5)</f>
        <v>5000</v>
      </c>
      <c r="K25" s="51">
        <f>ROUND((I25-J25),5)</f>
        <v>-5000</v>
      </c>
      <c r="L25" s="141">
        <f>ROUND(IF(I25=0, IF(J25=0, 0, SIGN(-J25)), IF(J25=0, SIGN(I25), (I25-J25)/ABS(J25))),5)</f>
        <v>-1</v>
      </c>
    </row>
    <row r="26" spans="1:12" x14ac:dyDescent="0.25">
      <c r="A26" s="77"/>
      <c r="B26" s="77"/>
      <c r="C26" s="77"/>
      <c r="D26" s="77"/>
      <c r="E26" s="77" t="s">
        <v>228</v>
      </c>
      <c r="F26" s="77"/>
      <c r="G26" s="77"/>
      <c r="H26" s="77"/>
      <c r="I26" s="51"/>
      <c r="J26" s="51"/>
      <c r="K26" s="51"/>
      <c r="L26" s="141"/>
    </row>
    <row r="27" spans="1:12" ht="15.75" thickBot="1" x14ac:dyDescent="0.3">
      <c r="A27" s="77"/>
      <c r="B27" s="77"/>
      <c r="C27" s="77"/>
      <c r="D27" s="77"/>
      <c r="E27" s="77"/>
      <c r="F27" s="77" t="s">
        <v>7473</v>
      </c>
      <c r="G27" s="77"/>
      <c r="H27" s="77"/>
      <c r="I27" s="52">
        <v>329.49</v>
      </c>
      <c r="J27" s="52">
        <v>180</v>
      </c>
      <c r="K27" s="52">
        <f>ROUND((I27-J27),5)</f>
        <v>149.49</v>
      </c>
      <c r="L27" s="143">
        <f>ROUND(IF(I27=0, IF(J27=0, 0, SIGN(-J27)), IF(J27=0, SIGN(I27), (I27-J27)/ABS(J27))),5)</f>
        <v>0.83050000000000002</v>
      </c>
    </row>
    <row r="28" spans="1:12" x14ac:dyDescent="0.25">
      <c r="A28" s="77"/>
      <c r="B28" s="77"/>
      <c r="C28" s="77"/>
      <c r="D28" s="77"/>
      <c r="E28" s="77" t="s">
        <v>7472</v>
      </c>
      <c r="F28" s="77"/>
      <c r="G28" s="77"/>
      <c r="H28" s="77"/>
      <c r="I28" s="51">
        <f>ROUND(SUM(I26:I27),5)</f>
        <v>329.49</v>
      </c>
      <c r="J28" s="51">
        <f>ROUND(SUM(J26:J27),5)</f>
        <v>180</v>
      </c>
      <c r="K28" s="51">
        <f>ROUND((I28-J28),5)</f>
        <v>149.49</v>
      </c>
      <c r="L28" s="141">
        <f>ROUND(IF(I28=0, IF(J28=0, 0, SIGN(-J28)), IF(J28=0, SIGN(I28), (I28-J28)/ABS(J28))),5)</f>
        <v>0.83050000000000002</v>
      </c>
    </row>
    <row r="29" spans="1:12" x14ac:dyDescent="0.25">
      <c r="A29" s="77"/>
      <c r="B29" s="77"/>
      <c r="C29" s="77"/>
      <c r="D29" s="77"/>
      <c r="E29" s="77" t="s">
        <v>13</v>
      </c>
      <c r="F29" s="77"/>
      <c r="G29" s="77"/>
      <c r="H29" s="77"/>
      <c r="I29" s="51"/>
      <c r="J29" s="51"/>
      <c r="K29" s="51"/>
      <c r="L29" s="141"/>
    </row>
    <row r="30" spans="1:12" x14ac:dyDescent="0.25">
      <c r="A30" s="77"/>
      <c r="B30" s="77"/>
      <c r="C30" s="77"/>
      <c r="D30" s="77"/>
      <c r="E30" s="77"/>
      <c r="F30" s="77" t="s">
        <v>14</v>
      </c>
      <c r="G30" s="77"/>
      <c r="H30" s="77"/>
      <c r="I30" s="51">
        <v>3777.39</v>
      </c>
      <c r="J30" s="51">
        <v>20086.23</v>
      </c>
      <c r="K30" s="51">
        <f>ROUND((I30-J30),5)</f>
        <v>-16308.84</v>
      </c>
      <c r="L30" s="141">
        <f>ROUND(IF(I30=0, IF(J30=0, 0, SIGN(-J30)), IF(J30=0, SIGN(I30), (I30-J30)/ABS(J30))),5)</f>
        <v>-0.81194</v>
      </c>
    </row>
    <row r="31" spans="1:12" x14ac:dyDescent="0.25">
      <c r="A31" s="77"/>
      <c r="B31" s="77"/>
      <c r="C31" s="77"/>
      <c r="D31" s="77"/>
      <c r="E31" s="77"/>
      <c r="F31" s="77" t="s">
        <v>7471</v>
      </c>
      <c r="G31" s="77"/>
      <c r="H31" s="77"/>
      <c r="I31" s="51">
        <v>1539.72</v>
      </c>
      <c r="J31" s="51">
        <v>7522.5</v>
      </c>
      <c r="K31" s="51">
        <f>ROUND((I31-J31),5)</f>
        <v>-5982.78</v>
      </c>
      <c r="L31" s="141">
        <f>ROUND(IF(I31=0, IF(J31=0, 0, SIGN(-J31)), IF(J31=0, SIGN(I31), (I31-J31)/ABS(J31))),5)</f>
        <v>-0.79532000000000003</v>
      </c>
    </row>
    <row r="32" spans="1:12" ht="15.75" thickBot="1" x14ac:dyDescent="0.3">
      <c r="A32" s="77"/>
      <c r="B32" s="77"/>
      <c r="C32" s="77"/>
      <c r="D32" s="77"/>
      <c r="E32" s="77"/>
      <c r="F32" s="77" t="s">
        <v>15</v>
      </c>
      <c r="G32" s="77"/>
      <c r="H32" s="77"/>
      <c r="I32" s="52">
        <v>5991.68</v>
      </c>
      <c r="J32" s="52">
        <v>6372.39</v>
      </c>
      <c r="K32" s="52">
        <f>ROUND((I32-J32),5)</f>
        <v>-380.71</v>
      </c>
      <c r="L32" s="143">
        <f>ROUND(IF(I32=0, IF(J32=0, 0, SIGN(-J32)), IF(J32=0, SIGN(I32), (I32-J32)/ABS(J32))),5)</f>
        <v>-5.9740000000000001E-2</v>
      </c>
    </row>
    <row r="33" spans="1:12" x14ac:dyDescent="0.25">
      <c r="A33" s="77"/>
      <c r="B33" s="77"/>
      <c r="C33" s="77"/>
      <c r="D33" s="77"/>
      <c r="E33" s="77" t="s">
        <v>16</v>
      </c>
      <c r="F33" s="77"/>
      <c r="G33" s="77"/>
      <c r="H33" s="77"/>
      <c r="I33" s="51">
        <f>ROUND(SUM(I29:I32),5)</f>
        <v>11308.79</v>
      </c>
      <c r="J33" s="51">
        <f>ROUND(SUM(J29:J32),5)</f>
        <v>33981.120000000003</v>
      </c>
      <c r="K33" s="51">
        <f>ROUND((I33-J33),5)</f>
        <v>-22672.33</v>
      </c>
      <c r="L33" s="141">
        <f>ROUND(IF(I33=0, IF(J33=0, 0, SIGN(-J33)), IF(J33=0, SIGN(I33), (I33-J33)/ABS(J33))),5)</f>
        <v>-0.66720000000000002</v>
      </c>
    </row>
    <row r="34" spans="1:12" x14ac:dyDescent="0.25">
      <c r="A34" s="77"/>
      <c r="B34" s="77"/>
      <c r="C34" s="77"/>
      <c r="D34" s="77"/>
      <c r="E34" s="77" t="s">
        <v>7528</v>
      </c>
      <c r="F34" s="77"/>
      <c r="G34" s="77"/>
      <c r="H34" s="77"/>
      <c r="I34" s="51"/>
      <c r="J34" s="51"/>
      <c r="K34" s="51"/>
      <c r="L34" s="141"/>
    </row>
    <row r="35" spans="1:12" ht="15.75" thickBot="1" x14ac:dyDescent="0.3">
      <c r="A35" s="77"/>
      <c r="B35" s="77"/>
      <c r="C35" s="77"/>
      <c r="D35" s="77"/>
      <c r="E35" s="77"/>
      <c r="F35" s="77" t="s">
        <v>7529</v>
      </c>
      <c r="G35" s="77"/>
      <c r="H35" s="77"/>
      <c r="I35" s="52">
        <v>0</v>
      </c>
      <c r="J35" s="52">
        <v>706.95</v>
      </c>
      <c r="K35" s="52">
        <f>ROUND((I35-J35),5)</f>
        <v>-706.95</v>
      </c>
      <c r="L35" s="143">
        <f>ROUND(IF(I35=0, IF(J35=0, 0, SIGN(-J35)), IF(J35=0, SIGN(I35), (I35-J35)/ABS(J35))),5)</f>
        <v>-1</v>
      </c>
    </row>
    <row r="36" spans="1:12" x14ac:dyDescent="0.25">
      <c r="A36" s="77"/>
      <c r="B36" s="77"/>
      <c r="C36" s="77"/>
      <c r="D36" s="77"/>
      <c r="E36" s="77" t="s">
        <v>7530</v>
      </c>
      <c r="F36" s="77"/>
      <c r="G36" s="77"/>
      <c r="H36" s="77"/>
      <c r="I36" s="51">
        <f>ROUND(SUM(I34:I35),5)</f>
        <v>0</v>
      </c>
      <c r="J36" s="51">
        <f>ROUND(SUM(J34:J35),5)</f>
        <v>706.95</v>
      </c>
      <c r="K36" s="51">
        <f>ROUND((I36-J36),5)</f>
        <v>-706.95</v>
      </c>
      <c r="L36" s="141">
        <f>ROUND(IF(I36=0, IF(J36=0, 0, SIGN(-J36)), IF(J36=0, SIGN(I36), (I36-J36)/ABS(J36))),5)</f>
        <v>-1</v>
      </c>
    </row>
    <row r="37" spans="1:12" x14ac:dyDescent="0.25">
      <c r="A37" s="77"/>
      <c r="B37" s="77"/>
      <c r="C37" s="77"/>
      <c r="D37" s="77"/>
      <c r="E37" s="77" t="s">
        <v>7433</v>
      </c>
      <c r="F37" s="77"/>
      <c r="G37" s="77"/>
      <c r="H37" s="77"/>
      <c r="I37" s="51"/>
      <c r="J37" s="51"/>
      <c r="K37" s="51"/>
      <c r="L37" s="141"/>
    </row>
    <row r="38" spans="1:12" ht="15.75" thickBot="1" x14ac:dyDescent="0.3">
      <c r="A38" s="77"/>
      <c r="B38" s="77"/>
      <c r="C38" s="77"/>
      <c r="D38" s="77"/>
      <c r="E38" s="77"/>
      <c r="F38" s="77" t="s">
        <v>13</v>
      </c>
      <c r="G38" s="77"/>
      <c r="H38" s="77"/>
      <c r="I38" s="51">
        <v>0</v>
      </c>
      <c r="J38" s="51">
        <v>10000</v>
      </c>
      <c r="K38" s="51">
        <f>ROUND((I38-J38),5)</f>
        <v>-10000</v>
      </c>
      <c r="L38" s="141">
        <f>ROUND(IF(I38=0, IF(J38=0, 0, SIGN(-J38)), IF(J38=0, SIGN(I38), (I38-J38)/ABS(J38))),5)</f>
        <v>-1</v>
      </c>
    </row>
    <row r="39" spans="1:12" ht="15.75" thickBot="1" x14ac:dyDescent="0.3">
      <c r="A39" s="77"/>
      <c r="B39" s="77"/>
      <c r="C39" s="77"/>
      <c r="D39" s="77"/>
      <c r="E39" s="77" t="s">
        <v>7434</v>
      </c>
      <c r="F39" s="77"/>
      <c r="G39" s="77"/>
      <c r="H39" s="77"/>
      <c r="I39" s="89">
        <f>ROUND(SUM(I37:I38),5)</f>
        <v>0</v>
      </c>
      <c r="J39" s="89">
        <f>ROUND(SUM(J37:J38),5)</f>
        <v>10000</v>
      </c>
      <c r="K39" s="89">
        <f>ROUND((I39-J39),5)</f>
        <v>-10000</v>
      </c>
      <c r="L39" s="140">
        <f>ROUND(IF(I39=0, IF(J39=0, 0, SIGN(-J39)), IF(J39=0, SIGN(I39), (I39-J39)/ABS(J39))),5)</f>
        <v>-1</v>
      </c>
    </row>
    <row r="40" spans="1:12" ht="15.75" thickBot="1" x14ac:dyDescent="0.3">
      <c r="A40" s="77"/>
      <c r="B40" s="77"/>
      <c r="C40" s="77"/>
      <c r="D40" s="77" t="s">
        <v>17</v>
      </c>
      <c r="E40" s="77"/>
      <c r="F40" s="77"/>
      <c r="G40" s="77"/>
      <c r="H40" s="77"/>
      <c r="I40" s="54">
        <f>ROUND(SUM(I4:I5)+I13+I18+I25+I28+I33+I36+I39,5)</f>
        <v>441749.44</v>
      </c>
      <c r="J40" s="54">
        <f>ROUND(SUM(J4:J5)+J13+J18+J25+J28+J33+J36+J39,5)</f>
        <v>372858.19</v>
      </c>
      <c r="K40" s="54">
        <f>ROUND((I40-J40),5)</f>
        <v>68891.25</v>
      </c>
      <c r="L40" s="142">
        <f>ROUND(IF(I40=0, IF(J40=0, 0, SIGN(-J40)), IF(J40=0, SIGN(I40), (I40-J40)/ABS(J40))),5)</f>
        <v>0.18476999999999999</v>
      </c>
    </row>
    <row r="41" spans="1:12" x14ac:dyDescent="0.25">
      <c r="A41" s="77"/>
      <c r="B41" s="77"/>
      <c r="C41" s="77" t="s">
        <v>18</v>
      </c>
      <c r="D41" s="77"/>
      <c r="E41" s="77"/>
      <c r="F41" s="77"/>
      <c r="G41" s="77"/>
      <c r="H41" s="77"/>
      <c r="I41" s="51">
        <f>I40</f>
        <v>441749.44</v>
      </c>
      <c r="J41" s="51">
        <f>J40</f>
        <v>372858.19</v>
      </c>
      <c r="K41" s="51">
        <f>ROUND((I41-J41),5)</f>
        <v>68891.25</v>
      </c>
      <c r="L41" s="141">
        <f>ROUND(IF(I41=0, IF(J41=0, 0, SIGN(-J41)), IF(J41=0, SIGN(I41), (I41-J41)/ABS(J41))),5)</f>
        <v>0.18476999999999999</v>
      </c>
    </row>
    <row r="42" spans="1:12" x14ac:dyDescent="0.25">
      <c r="A42" s="77"/>
      <c r="B42" s="77"/>
      <c r="C42" s="77"/>
      <c r="D42" s="77" t="s">
        <v>19</v>
      </c>
      <c r="E42" s="77"/>
      <c r="F42" s="77"/>
      <c r="G42" s="77"/>
      <c r="H42" s="77"/>
      <c r="I42" s="51"/>
      <c r="J42" s="51"/>
      <c r="K42" s="51"/>
      <c r="L42" s="141"/>
    </row>
    <row r="43" spans="1:12" x14ac:dyDescent="0.25">
      <c r="A43" s="77"/>
      <c r="B43" s="77"/>
      <c r="C43" s="77"/>
      <c r="D43" s="77"/>
      <c r="E43" s="77" t="s">
        <v>7501</v>
      </c>
      <c r="F43" s="77"/>
      <c r="G43" s="77"/>
      <c r="H43" s="77"/>
      <c r="I43" s="51"/>
      <c r="J43" s="51"/>
      <c r="K43" s="51"/>
      <c r="L43" s="141"/>
    </row>
    <row r="44" spans="1:12" x14ac:dyDescent="0.25">
      <c r="A44" s="77"/>
      <c r="B44" s="77"/>
      <c r="C44" s="77"/>
      <c r="D44" s="77"/>
      <c r="E44" s="77"/>
      <c r="F44" s="77" t="s">
        <v>7816</v>
      </c>
      <c r="G44" s="77"/>
      <c r="H44" s="77"/>
      <c r="I44" s="51">
        <v>16943.34</v>
      </c>
      <c r="J44" s="51">
        <v>0</v>
      </c>
      <c r="K44" s="51">
        <f>ROUND((I44-J44),5)</f>
        <v>16943.34</v>
      </c>
      <c r="L44" s="141">
        <f>ROUND(IF(I44=0, IF(J44=0, 0, SIGN(-J44)), IF(J44=0, SIGN(I44), (I44-J44)/ABS(J44))),5)</f>
        <v>1</v>
      </c>
    </row>
    <row r="45" spans="1:12" x14ac:dyDescent="0.25">
      <c r="A45" s="77"/>
      <c r="B45" s="77"/>
      <c r="C45" s="77"/>
      <c r="D45" s="77"/>
      <c r="E45" s="77"/>
      <c r="F45" s="77" t="s">
        <v>1611</v>
      </c>
      <c r="G45" s="77"/>
      <c r="H45" s="77"/>
      <c r="I45" s="51">
        <v>3975</v>
      </c>
      <c r="J45" s="51">
        <v>0</v>
      </c>
      <c r="K45" s="51">
        <f>ROUND((I45-J45),5)</f>
        <v>3975</v>
      </c>
      <c r="L45" s="141">
        <f>ROUND(IF(I45=0, IF(J45=0, 0, SIGN(-J45)), IF(J45=0, SIGN(I45), (I45-J45)/ABS(J45))),5)</f>
        <v>1</v>
      </c>
    </row>
    <row r="46" spans="1:12" s="2" customFormat="1" ht="11.25" x14ac:dyDescent="0.2">
      <c r="A46" s="77"/>
      <c r="B46" s="77"/>
      <c r="C46" s="77"/>
      <c r="D46" s="77"/>
      <c r="E46" s="77"/>
      <c r="F46" s="77" t="s">
        <v>7814</v>
      </c>
      <c r="G46" s="77"/>
      <c r="H46" s="77"/>
      <c r="I46" s="51">
        <v>4054.5</v>
      </c>
      <c r="J46" s="51">
        <v>0</v>
      </c>
      <c r="K46" s="51">
        <f>ROUND((I46-J46),5)</f>
        <v>4054.5</v>
      </c>
      <c r="L46" s="141">
        <f>ROUND(IF(I46=0, IF(J46=0, 0, SIGN(-J46)), IF(J46=0, SIGN(I46), (I46-J46)/ABS(J46))),5)</f>
        <v>1</v>
      </c>
    </row>
    <row r="47" spans="1:12" ht="15.75" thickBot="1" x14ac:dyDescent="0.3">
      <c r="A47" s="77"/>
      <c r="B47" s="77"/>
      <c r="C47" s="77"/>
      <c r="D47" s="77"/>
      <c r="E47" s="77"/>
      <c r="F47" s="77" t="s">
        <v>7502</v>
      </c>
      <c r="G47" s="77"/>
      <c r="H47" s="77"/>
      <c r="I47" s="52">
        <v>0</v>
      </c>
      <c r="J47" s="52">
        <v>22479.4</v>
      </c>
      <c r="K47" s="52">
        <f>ROUND((I47-J47),5)</f>
        <v>-22479.4</v>
      </c>
      <c r="L47" s="143">
        <f>ROUND(IF(I47=0, IF(J47=0, 0, SIGN(-J47)), IF(J47=0, SIGN(I47), (I47-J47)/ABS(J47))),5)</f>
        <v>-1</v>
      </c>
    </row>
    <row r="48" spans="1:12" x14ac:dyDescent="0.25">
      <c r="A48" s="77"/>
      <c r="B48" s="77"/>
      <c r="C48" s="77"/>
      <c r="D48" s="77"/>
      <c r="E48" s="77" t="s">
        <v>7503</v>
      </c>
      <c r="F48" s="77"/>
      <c r="G48" s="77"/>
      <c r="H48" s="77"/>
      <c r="I48" s="51">
        <f>ROUND(SUM(I43:I47),5)</f>
        <v>24972.84</v>
      </c>
      <c r="J48" s="51">
        <f>ROUND(SUM(J43:J47),5)</f>
        <v>22479.4</v>
      </c>
      <c r="K48" s="51">
        <f>ROUND((I48-J48),5)</f>
        <v>2493.44</v>
      </c>
      <c r="L48" s="141">
        <f>ROUND(IF(I48=0, IF(J48=0, 0, SIGN(-J48)), IF(J48=0, SIGN(I48), (I48-J48)/ABS(J48))),5)</f>
        <v>0.11092</v>
      </c>
    </row>
    <row r="49" spans="1:12" x14ac:dyDescent="0.25">
      <c r="A49" s="77"/>
      <c r="B49" s="77"/>
      <c r="C49" s="77"/>
      <c r="D49" s="77"/>
      <c r="E49" s="77" t="s">
        <v>20</v>
      </c>
      <c r="F49" s="77"/>
      <c r="G49" s="77"/>
      <c r="H49" s="77"/>
      <c r="I49" s="51"/>
      <c r="J49" s="51"/>
      <c r="K49" s="51"/>
      <c r="L49" s="141"/>
    </row>
    <row r="50" spans="1:12" x14ac:dyDescent="0.25">
      <c r="A50" s="77"/>
      <c r="B50" s="77"/>
      <c r="C50" s="77"/>
      <c r="D50" s="77"/>
      <c r="E50" s="77"/>
      <c r="F50" s="77" t="s">
        <v>7831</v>
      </c>
      <c r="G50" s="77"/>
      <c r="H50" s="77"/>
      <c r="I50" s="51">
        <v>2240.64</v>
      </c>
      <c r="J50" s="51">
        <v>0</v>
      </c>
      <c r="K50" s="51">
        <f>ROUND((I50-J50),5)</f>
        <v>2240.64</v>
      </c>
      <c r="L50" s="141">
        <f>ROUND(IF(I50=0, IF(J50=0, 0, SIGN(-J50)), IF(J50=0, SIGN(I50), (I50-J50)/ABS(J50))),5)</f>
        <v>1</v>
      </c>
    </row>
    <row r="51" spans="1:12" x14ac:dyDescent="0.25">
      <c r="A51" s="77"/>
      <c r="B51" s="77"/>
      <c r="C51" s="77"/>
      <c r="D51" s="77"/>
      <c r="E51" s="77"/>
      <c r="F51" s="77" t="s">
        <v>21</v>
      </c>
      <c r="G51" s="77"/>
      <c r="H51" s="77"/>
      <c r="I51" s="51">
        <v>610.95000000000005</v>
      </c>
      <c r="J51" s="51">
        <v>213.26</v>
      </c>
      <c r="K51" s="51">
        <f>ROUND((I51-J51),5)</f>
        <v>397.69</v>
      </c>
      <c r="L51" s="141">
        <f>ROUND(IF(I51=0, IF(J51=0, 0, SIGN(-J51)), IF(J51=0, SIGN(I51), (I51-J51)/ABS(J51))),5)</f>
        <v>1.8648100000000001</v>
      </c>
    </row>
    <row r="52" spans="1:12" x14ac:dyDescent="0.25">
      <c r="A52" s="77"/>
      <c r="B52" s="77"/>
      <c r="C52" s="77"/>
      <c r="D52" s="77"/>
      <c r="E52" s="77"/>
      <c r="F52" s="77" t="s">
        <v>22</v>
      </c>
      <c r="G52" s="77"/>
      <c r="H52" s="77"/>
      <c r="I52" s="51">
        <v>18987.75</v>
      </c>
      <c r="J52" s="51">
        <v>9093.44</v>
      </c>
      <c r="K52" s="51">
        <f>ROUND((I52-J52),5)</f>
        <v>9894.31</v>
      </c>
      <c r="L52" s="141">
        <f>ROUND(IF(I52=0, IF(J52=0, 0, SIGN(-J52)), IF(J52=0, SIGN(I52), (I52-J52)/ABS(J52))),5)</f>
        <v>1.0880700000000001</v>
      </c>
    </row>
    <row r="53" spans="1:12" x14ac:dyDescent="0.25">
      <c r="A53" s="77"/>
      <c r="B53" s="77"/>
      <c r="C53" s="77"/>
      <c r="D53" s="77"/>
      <c r="E53" s="77"/>
      <c r="F53" s="77" t="s">
        <v>23</v>
      </c>
      <c r="G53" s="77"/>
      <c r="H53" s="77"/>
      <c r="I53" s="51">
        <v>500</v>
      </c>
      <c r="J53" s="51">
        <v>156.75</v>
      </c>
      <c r="K53" s="51">
        <f>ROUND((I53-J53),5)</f>
        <v>343.25</v>
      </c>
      <c r="L53" s="141">
        <f>ROUND(IF(I53=0, IF(J53=0, 0, SIGN(-J53)), IF(J53=0, SIGN(I53), (I53-J53)/ABS(J53))),5)</f>
        <v>2.1897899999999999</v>
      </c>
    </row>
    <row r="54" spans="1:12" x14ac:dyDescent="0.25">
      <c r="A54" s="77"/>
      <c r="B54" s="77"/>
      <c r="C54" s="77"/>
      <c r="D54" s="77"/>
      <c r="E54" s="77"/>
      <c r="F54" s="77" t="s">
        <v>24</v>
      </c>
      <c r="G54" s="77"/>
      <c r="H54" s="77"/>
      <c r="I54" s="51">
        <v>1912.5</v>
      </c>
      <c r="J54" s="51">
        <v>2022.77</v>
      </c>
      <c r="K54" s="51">
        <f>ROUND((I54-J54),5)</f>
        <v>-110.27</v>
      </c>
      <c r="L54" s="141">
        <f>ROUND(IF(I54=0, IF(J54=0, 0, SIGN(-J54)), IF(J54=0, SIGN(I54), (I54-J54)/ABS(J54))),5)</f>
        <v>-5.4510000000000003E-2</v>
      </c>
    </row>
    <row r="55" spans="1:12" x14ac:dyDescent="0.25">
      <c r="A55" s="77"/>
      <c r="B55" s="77"/>
      <c r="C55" s="77"/>
      <c r="D55" s="77"/>
      <c r="E55" s="77"/>
      <c r="F55" s="77" t="s">
        <v>25</v>
      </c>
      <c r="G55" s="77"/>
      <c r="H55" s="77"/>
      <c r="I55" s="51"/>
      <c r="J55" s="51"/>
      <c r="K55" s="51"/>
      <c r="L55" s="141"/>
    </row>
    <row r="56" spans="1:12" x14ac:dyDescent="0.25">
      <c r="A56" s="77"/>
      <c r="B56" s="77"/>
      <c r="C56" s="77"/>
      <c r="D56" s="77"/>
      <c r="E56" s="77"/>
      <c r="F56" s="77"/>
      <c r="G56" s="77" t="s">
        <v>26</v>
      </c>
      <c r="H56" s="77"/>
      <c r="I56" s="51">
        <v>2643.4</v>
      </c>
      <c r="J56" s="51">
        <v>2060.71</v>
      </c>
      <c r="K56" s="51">
        <f t="shared" ref="K56:K64" si="2">ROUND((I56-J56),5)</f>
        <v>582.69000000000005</v>
      </c>
      <c r="L56" s="141">
        <f t="shared" ref="L56:L64" si="3">ROUND(IF(I56=0, IF(J56=0, 0, SIGN(-J56)), IF(J56=0, SIGN(I56), (I56-J56)/ABS(J56))),5)</f>
        <v>0.28276000000000001</v>
      </c>
    </row>
    <row r="57" spans="1:12" x14ac:dyDescent="0.25">
      <c r="A57" s="77"/>
      <c r="B57" s="77"/>
      <c r="C57" s="77"/>
      <c r="D57" s="77"/>
      <c r="E57" s="77"/>
      <c r="F57" s="77"/>
      <c r="G57" s="77" t="s">
        <v>7525</v>
      </c>
      <c r="H57" s="77"/>
      <c r="I57" s="51">
        <v>1042.17</v>
      </c>
      <c r="J57" s="51">
        <v>507.08</v>
      </c>
      <c r="K57" s="51">
        <f t="shared" si="2"/>
        <v>535.09</v>
      </c>
      <c r="L57" s="141">
        <f t="shared" si="3"/>
        <v>1.05524</v>
      </c>
    </row>
    <row r="58" spans="1:12" ht="15.75" thickBot="1" x14ac:dyDescent="0.3">
      <c r="A58" s="77"/>
      <c r="B58" s="77"/>
      <c r="C58" s="77"/>
      <c r="D58" s="77"/>
      <c r="E58" s="77"/>
      <c r="F58" s="77"/>
      <c r="G58" s="77" t="s">
        <v>7521</v>
      </c>
      <c r="H58" s="77"/>
      <c r="I58" s="52">
        <v>0</v>
      </c>
      <c r="J58" s="52">
        <v>658</v>
      </c>
      <c r="K58" s="52">
        <f t="shared" si="2"/>
        <v>-658</v>
      </c>
      <c r="L58" s="143">
        <f t="shared" si="3"/>
        <v>-1</v>
      </c>
    </row>
    <row r="59" spans="1:12" x14ac:dyDescent="0.25">
      <c r="A59" s="77"/>
      <c r="B59" s="77"/>
      <c r="C59" s="77"/>
      <c r="D59" s="77"/>
      <c r="E59" s="77"/>
      <c r="F59" s="77" t="s">
        <v>27</v>
      </c>
      <c r="G59" s="77"/>
      <c r="H59" s="77"/>
      <c r="I59" s="51">
        <f>ROUND(SUM(I55:I58),5)</f>
        <v>3685.57</v>
      </c>
      <c r="J59" s="51">
        <f>ROUND(SUM(J55:J58),5)</f>
        <v>3225.79</v>
      </c>
      <c r="K59" s="51">
        <f t="shared" si="2"/>
        <v>459.78</v>
      </c>
      <c r="L59" s="141">
        <f t="shared" si="3"/>
        <v>0.14252999999999999</v>
      </c>
    </row>
    <row r="60" spans="1:12" x14ac:dyDescent="0.25">
      <c r="A60" s="77"/>
      <c r="B60" s="77"/>
      <c r="C60" s="77"/>
      <c r="D60" s="77"/>
      <c r="E60" s="77"/>
      <c r="F60" s="77" t="s">
        <v>7435</v>
      </c>
      <c r="G60" s="77"/>
      <c r="H60" s="77"/>
      <c r="I60" s="51">
        <v>181</v>
      </c>
      <c r="J60" s="51">
        <v>3235</v>
      </c>
      <c r="K60" s="51">
        <f t="shared" si="2"/>
        <v>-3054</v>
      </c>
      <c r="L60" s="141">
        <f t="shared" si="3"/>
        <v>-0.94404999999999994</v>
      </c>
    </row>
    <row r="61" spans="1:12" x14ac:dyDescent="0.25">
      <c r="A61" s="77"/>
      <c r="B61" s="77"/>
      <c r="C61" s="77"/>
      <c r="D61" s="77"/>
      <c r="E61" s="77"/>
      <c r="F61" s="77" t="s">
        <v>28</v>
      </c>
      <c r="G61" s="77"/>
      <c r="H61" s="77"/>
      <c r="I61" s="51">
        <v>2059.5300000000002</v>
      </c>
      <c r="J61" s="51">
        <v>1174.67</v>
      </c>
      <c r="K61" s="51">
        <f t="shared" si="2"/>
        <v>884.86</v>
      </c>
      <c r="L61" s="141">
        <f t="shared" si="3"/>
        <v>0.75327999999999995</v>
      </c>
    </row>
    <row r="62" spans="1:12" x14ac:dyDescent="0.25">
      <c r="A62" s="77"/>
      <c r="B62" s="77"/>
      <c r="C62" s="77"/>
      <c r="D62" s="77"/>
      <c r="E62" s="77"/>
      <c r="F62" s="77" t="s">
        <v>7436</v>
      </c>
      <c r="G62" s="77"/>
      <c r="H62" s="77"/>
      <c r="I62" s="51">
        <v>1072.48</v>
      </c>
      <c r="J62" s="51">
        <v>627</v>
      </c>
      <c r="K62" s="51">
        <f t="shared" si="2"/>
        <v>445.48</v>
      </c>
      <c r="L62" s="141">
        <f t="shared" si="3"/>
        <v>0.71048999999999995</v>
      </c>
    </row>
    <row r="63" spans="1:12" x14ac:dyDescent="0.25">
      <c r="A63" s="77"/>
      <c r="B63" s="77"/>
      <c r="C63" s="77"/>
      <c r="D63" s="77"/>
      <c r="E63" s="77"/>
      <c r="F63" s="77" t="s">
        <v>236</v>
      </c>
      <c r="G63" s="77"/>
      <c r="H63" s="77"/>
      <c r="I63" s="51">
        <v>0</v>
      </c>
      <c r="J63" s="51">
        <v>120.87</v>
      </c>
      <c r="K63" s="51">
        <f t="shared" si="2"/>
        <v>-120.87</v>
      </c>
      <c r="L63" s="141">
        <f t="shared" si="3"/>
        <v>-1</v>
      </c>
    </row>
    <row r="64" spans="1:12" x14ac:dyDescent="0.25">
      <c r="A64" s="77"/>
      <c r="B64" s="77"/>
      <c r="C64" s="77"/>
      <c r="D64" s="77"/>
      <c r="E64" s="77"/>
      <c r="F64" s="77" t="s">
        <v>7468</v>
      </c>
      <c r="G64" s="77"/>
      <c r="H64" s="77"/>
      <c r="I64" s="51">
        <v>0</v>
      </c>
      <c r="J64" s="51">
        <v>57.17</v>
      </c>
      <c r="K64" s="51">
        <f t="shared" si="2"/>
        <v>-57.17</v>
      </c>
      <c r="L64" s="141">
        <f t="shared" si="3"/>
        <v>-1</v>
      </c>
    </row>
    <row r="65" spans="1:19" x14ac:dyDescent="0.25">
      <c r="A65" s="77"/>
      <c r="B65" s="77"/>
      <c r="C65" s="77"/>
      <c r="D65" s="77"/>
      <c r="E65" s="77"/>
      <c r="F65" s="77" t="s">
        <v>29</v>
      </c>
      <c r="G65" s="77"/>
      <c r="H65" s="77"/>
      <c r="I65" s="51"/>
      <c r="J65" s="51"/>
      <c r="K65" s="51"/>
      <c r="L65" s="141"/>
    </row>
    <row r="66" spans="1:19" x14ac:dyDescent="0.25">
      <c r="A66" s="77"/>
      <c r="B66" s="77"/>
      <c r="C66" s="77"/>
      <c r="D66" s="77"/>
      <c r="E66" s="77"/>
      <c r="F66" s="77"/>
      <c r="G66" s="77" t="s">
        <v>30</v>
      </c>
      <c r="H66" s="77"/>
      <c r="I66" s="51">
        <v>9251.8700000000008</v>
      </c>
      <c r="J66" s="51">
        <v>224.8</v>
      </c>
      <c r="K66" s="51">
        <f t="shared" ref="K66:K74" si="4">ROUND((I66-J66),5)</f>
        <v>9027.07</v>
      </c>
      <c r="L66" s="141">
        <f t="shared" ref="L66:L74" si="5">ROUND(IF(I66=0, IF(J66=0, 0, SIGN(-J66)), IF(J66=0, SIGN(I66), (I66-J66)/ABS(J66))),5)</f>
        <v>40.156010000000002</v>
      </c>
    </row>
    <row r="67" spans="1:19" ht="15.75" thickBot="1" x14ac:dyDescent="0.3">
      <c r="A67" s="77"/>
      <c r="B67" s="77"/>
      <c r="C67" s="77"/>
      <c r="D67" s="77"/>
      <c r="E67" s="77"/>
      <c r="F67" s="77"/>
      <c r="G67" s="77" t="s">
        <v>7467</v>
      </c>
      <c r="H67" s="77"/>
      <c r="I67" s="52">
        <v>322.5</v>
      </c>
      <c r="J67" s="52">
        <v>10083.51</v>
      </c>
      <c r="K67" s="52">
        <f t="shared" si="4"/>
        <v>-9761.01</v>
      </c>
      <c r="L67" s="143">
        <f t="shared" si="5"/>
        <v>-0.96801999999999999</v>
      </c>
    </row>
    <row r="68" spans="1:19" x14ac:dyDescent="0.25">
      <c r="A68" s="77"/>
      <c r="B68" s="77"/>
      <c r="C68" s="77"/>
      <c r="D68" s="77"/>
      <c r="E68" s="77"/>
      <c r="F68" s="77" t="s">
        <v>31</v>
      </c>
      <c r="G68" s="77"/>
      <c r="H68" s="77"/>
      <c r="I68" s="51">
        <f>ROUND(SUM(I65:I67),5)</f>
        <v>9574.3700000000008</v>
      </c>
      <c r="J68" s="51">
        <f>ROUND(SUM(J65:J67),5)</f>
        <v>10308.31</v>
      </c>
      <c r="K68" s="51">
        <f t="shared" si="4"/>
        <v>-733.94</v>
      </c>
      <c r="L68" s="141">
        <f t="shared" si="5"/>
        <v>-7.1199999999999999E-2</v>
      </c>
      <c r="O68" s="75" t="s">
        <v>7799</v>
      </c>
      <c r="Q68" s="58">
        <v>0.22231677883718848</v>
      </c>
      <c r="R68" s="43">
        <f>$I$80*Q68</f>
        <v>74429.616686660986</v>
      </c>
      <c r="S68" s="43"/>
    </row>
    <row r="69" spans="1:19" ht="15.75" thickBot="1" x14ac:dyDescent="0.3">
      <c r="A69" s="77"/>
      <c r="B69" s="77"/>
      <c r="C69" s="77"/>
      <c r="D69" s="77"/>
      <c r="E69" s="77"/>
      <c r="F69" s="77" t="s">
        <v>7466</v>
      </c>
      <c r="G69" s="77"/>
      <c r="H69" s="77"/>
      <c r="I69" s="52">
        <v>0</v>
      </c>
      <c r="J69" s="52">
        <v>9604.7099999999991</v>
      </c>
      <c r="K69" s="52">
        <f t="shared" si="4"/>
        <v>-9604.7099999999991</v>
      </c>
      <c r="L69" s="143">
        <f t="shared" si="5"/>
        <v>-1</v>
      </c>
      <c r="O69" s="75" t="s">
        <v>7460</v>
      </c>
      <c r="Q69" s="58">
        <v>0.22384322220756409</v>
      </c>
      <c r="R69" s="43">
        <f t="shared" ref="R69:R75" si="6">$I$80*Q69</f>
        <v>74940.655914312592</v>
      </c>
      <c r="S69" s="43"/>
    </row>
    <row r="70" spans="1:19" x14ac:dyDescent="0.25">
      <c r="A70" s="77"/>
      <c r="B70" s="77"/>
      <c r="C70" s="77"/>
      <c r="D70" s="77"/>
      <c r="E70" s="77" t="s">
        <v>32</v>
      </c>
      <c r="F70" s="77"/>
      <c r="G70" s="77"/>
      <c r="H70" s="77"/>
      <c r="I70" s="51">
        <f>ROUND(SUM(I49:I54)+SUM(I59:I64)+SUM(I68:I69),5)</f>
        <v>40824.79</v>
      </c>
      <c r="J70" s="51">
        <f>ROUND(SUM(J49:J54)+SUM(J59:J64)+SUM(J68:J69),5)</f>
        <v>39839.74</v>
      </c>
      <c r="K70" s="51">
        <f t="shared" si="4"/>
        <v>985.05</v>
      </c>
      <c r="L70" s="141">
        <f t="shared" si="5"/>
        <v>2.4729999999999999E-2</v>
      </c>
      <c r="O70" s="75" t="s">
        <v>232</v>
      </c>
      <c r="Q70" s="58">
        <v>9.865101792954134E-2</v>
      </c>
      <c r="R70" s="43">
        <f t="shared" si="6"/>
        <v>33027.45518646585</v>
      </c>
      <c r="S70" s="43"/>
    </row>
    <row r="71" spans="1:19" x14ac:dyDescent="0.25">
      <c r="A71" s="77"/>
      <c r="B71" s="77"/>
      <c r="C71" s="77"/>
      <c r="D71" s="77"/>
      <c r="E71" s="77" t="s">
        <v>33</v>
      </c>
      <c r="F71" s="77"/>
      <c r="G71" s="77"/>
      <c r="H71" s="77"/>
      <c r="I71" s="51">
        <v>19722.580000000002</v>
      </c>
      <c r="J71" s="51">
        <v>17602.099999999999</v>
      </c>
      <c r="K71" s="51">
        <f t="shared" si="4"/>
        <v>2120.48</v>
      </c>
      <c r="L71" s="141">
        <f t="shared" si="5"/>
        <v>0.12046999999999999</v>
      </c>
      <c r="O71" s="75" t="s">
        <v>7462</v>
      </c>
      <c r="Q71" s="58">
        <v>8.1190914499728761E-2</v>
      </c>
      <c r="R71" s="43">
        <f t="shared" si="6"/>
        <v>27181.972841914081</v>
      </c>
      <c r="S71" s="43"/>
    </row>
    <row r="72" spans="1:19" x14ac:dyDescent="0.25">
      <c r="A72" s="77"/>
      <c r="B72" s="77"/>
      <c r="C72" s="77"/>
      <c r="D72" s="77"/>
      <c r="E72" s="77" t="s">
        <v>7465</v>
      </c>
      <c r="F72" s="77"/>
      <c r="G72" s="77"/>
      <c r="H72" s="77"/>
      <c r="I72" s="51">
        <v>0</v>
      </c>
      <c r="J72" s="51">
        <v>2468</v>
      </c>
      <c r="K72" s="51">
        <f t="shared" si="4"/>
        <v>-2468</v>
      </c>
      <c r="L72" s="141">
        <f t="shared" si="5"/>
        <v>-1</v>
      </c>
      <c r="O72" s="75" t="s">
        <v>231</v>
      </c>
      <c r="Q72" s="58">
        <v>5.5607492361867197E-2</v>
      </c>
      <c r="R72" s="43">
        <f t="shared" si="6"/>
        <v>18616.877965973257</v>
      </c>
      <c r="S72" s="43"/>
    </row>
    <row r="73" spans="1:19" x14ac:dyDescent="0.25">
      <c r="A73" s="77"/>
      <c r="B73" s="77"/>
      <c r="C73" s="77"/>
      <c r="D73" s="77"/>
      <c r="E73" s="77" t="s">
        <v>36</v>
      </c>
      <c r="F73" s="77"/>
      <c r="G73" s="77"/>
      <c r="H73" s="77"/>
      <c r="I73" s="51">
        <v>12859.63</v>
      </c>
      <c r="J73" s="51">
        <v>5449.92</v>
      </c>
      <c r="K73" s="51">
        <f t="shared" si="4"/>
        <v>7409.71</v>
      </c>
      <c r="L73" s="141">
        <f t="shared" si="5"/>
        <v>1.3595999999999999</v>
      </c>
      <c r="O73" s="75" t="s">
        <v>7463</v>
      </c>
      <c r="Q73" s="58">
        <v>6.75906395225154E-2</v>
      </c>
      <c r="R73" s="43">
        <f t="shared" si="6"/>
        <v>22628.72563006734</v>
      </c>
      <c r="S73" s="43"/>
    </row>
    <row r="74" spans="1:19" x14ac:dyDescent="0.25">
      <c r="A74" s="77"/>
      <c r="B74" s="77"/>
      <c r="C74" s="77"/>
      <c r="D74" s="77"/>
      <c r="E74" s="77" t="s">
        <v>7813</v>
      </c>
      <c r="F74" s="77"/>
      <c r="G74" s="77"/>
      <c r="H74" s="77"/>
      <c r="I74" s="51">
        <v>0.81</v>
      </c>
      <c r="J74" s="51">
        <v>0</v>
      </c>
      <c r="K74" s="51">
        <f t="shared" si="4"/>
        <v>0.81</v>
      </c>
      <c r="L74" s="141">
        <f t="shared" si="5"/>
        <v>1</v>
      </c>
      <c r="O74" s="75" t="s">
        <v>7439</v>
      </c>
      <c r="Q74" s="58">
        <v>0.16651261284579766</v>
      </c>
      <c r="R74" s="43">
        <f t="shared" si="6"/>
        <v>55746.89419498713</v>
      </c>
      <c r="S74" s="43"/>
    </row>
    <row r="75" spans="1:19" x14ac:dyDescent="0.25">
      <c r="A75" s="77"/>
      <c r="B75" s="77"/>
      <c r="C75" s="77"/>
      <c r="D75" s="77"/>
      <c r="E75" s="77" t="s">
        <v>39</v>
      </c>
      <c r="F75" s="77"/>
      <c r="G75" s="77"/>
      <c r="H75" s="77"/>
      <c r="I75" s="51"/>
      <c r="J75" s="51"/>
      <c r="K75" s="51"/>
      <c r="L75" s="141"/>
      <c r="O75" s="75" t="s">
        <v>201</v>
      </c>
      <c r="Q75" s="58">
        <v>8.4287321795797204E-2</v>
      </c>
      <c r="R75" s="43">
        <f t="shared" si="6"/>
        <v>28218.621579618819</v>
      </c>
      <c r="S75" s="43"/>
    </row>
    <row r="76" spans="1:19" x14ac:dyDescent="0.25">
      <c r="A76" s="77"/>
      <c r="B76" s="77"/>
      <c r="C76" s="77"/>
      <c r="D76" s="77"/>
      <c r="E76" s="77"/>
      <c r="F76" s="77" t="s">
        <v>7464</v>
      </c>
      <c r="G76" s="77"/>
      <c r="H76" s="77"/>
      <c r="I76" s="51">
        <v>0</v>
      </c>
      <c r="J76" s="51">
        <v>5000</v>
      </c>
      <c r="K76" s="51">
        <f>ROUND((I76-J76),5)</f>
        <v>-5000</v>
      </c>
      <c r="L76" s="141">
        <f>ROUND(IF(I76=0, IF(J76=0, 0, SIGN(-J76)), IF(J76=0, SIGN(I76), (I76-J76)/ABS(J76))),5)</f>
        <v>-1</v>
      </c>
      <c r="R76" s="43">
        <f>SUM(R68:R75)</f>
        <v>334790.82000000007</v>
      </c>
      <c r="S76" s="43"/>
    </row>
    <row r="77" spans="1:19" x14ac:dyDescent="0.25">
      <c r="A77" s="77"/>
      <c r="B77" s="77"/>
      <c r="C77" s="77"/>
      <c r="D77" s="77"/>
      <c r="E77" s="77"/>
      <c r="F77" s="77" t="s">
        <v>40</v>
      </c>
      <c r="G77" s="77"/>
      <c r="H77" s="77"/>
      <c r="I77" s="51">
        <v>247398.3</v>
      </c>
      <c r="J77" s="51">
        <v>233874.32</v>
      </c>
      <c r="K77" s="51">
        <f>ROUND((I77-J77),5)</f>
        <v>13523.98</v>
      </c>
      <c r="L77" s="141">
        <f>ROUND(IF(I77=0, IF(J77=0, 0, SIGN(-J77)), IF(J77=0, SIGN(I77), (I77-J77)/ABS(J77))),5)</f>
        <v>5.7829999999999999E-2</v>
      </c>
    </row>
    <row r="78" spans="1:19" x14ac:dyDescent="0.25">
      <c r="A78" s="77"/>
      <c r="B78" s="77"/>
      <c r="C78" s="77"/>
      <c r="D78" s="77"/>
      <c r="E78" s="77"/>
      <c r="F78" s="77" t="s">
        <v>7832</v>
      </c>
      <c r="G78" s="77"/>
      <c r="H78" s="77"/>
      <c r="I78" s="51">
        <v>55590.73</v>
      </c>
      <c r="J78" s="51">
        <v>79977.62</v>
      </c>
      <c r="K78" s="51">
        <f>ROUND((I78-J78),5)</f>
        <v>-24386.89</v>
      </c>
      <c r="L78" s="141">
        <f>ROUND(IF(I78=0, IF(J78=0, 0, SIGN(-J78)), IF(J78=0, SIGN(I78), (I78-J78)/ABS(J78))),5)</f>
        <v>-0.30492000000000002</v>
      </c>
    </row>
    <row r="79" spans="1:19" ht="15.75" thickBot="1" x14ac:dyDescent="0.3">
      <c r="A79" s="77"/>
      <c r="B79" s="77"/>
      <c r="C79" s="77"/>
      <c r="D79" s="77"/>
      <c r="E79" s="77"/>
      <c r="F79" s="77" t="s">
        <v>7833</v>
      </c>
      <c r="G79" s="77"/>
      <c r="H79" s="77"/>
      <c r="I79" s="52">
        <v>31801.79</v>
      </c>
      <c r="J79" s="52">
        <v>0</v>
      </c>
      <c r="K79" s="52">
        <f>ROUND((I79-J79),5)</f>
        <v>31801.79</v>
      </c>
      <c r="L79" s="143">
        <f>ROUND(IF(I79=0, IF(J79=0, 0, SIGN(-J79)), IF(J79=0, SIGN(I79), (I79-J79)/ABS(J79))),5)</f>
        <v>1</v>
      </c>
    </row>
    <row r="80" spans="1:19" x14ac:dyDescent="0.25">
      <c r="A80" s="77"/>
      <c r="B80" s="77"/>
      <c r="C80" s="77"/>
      <c r="D80" s="77"/>
      <c r="E80" s="77" t="s">
        <v>42</v>
      </c>
      <c r="F80" s="77"/>
      <c r="G80" s="77"/>
      <c r="H80" s="77"/>
      <c r="I80" s="51">
        <f>ROUND(SUM(I75:I79),5)</f>
        <v>334790.82</v>
      </c>
      <c r="J80" s="51">
        <f>ROUND(SUM(J75:J79),5)</f>
        <v>318851.94</v>
      </c>
      <c r="K80" s="51">
        <f>ROUND((I80-J80),5)</f>
        <v>15938.88</v>
      </c>
      <c r="L80" s="141">
        <f>ROUND(IF(I80=0, IF(J80=0, 0, SIGN(-J80)), IF(J80=0, SIGN(I80), (I80-J80)/ABS(J80))),5)</f>
        <v>4.999E-2</v>
      </c>
    </row>
    <row r="81" spans="1:12" x14ac:dyDescent="0.25">
      <c r="A81" s="77"/>
      <c r="B81" s="77"/>
      <c r="C81" s="77"/>
      <c r="D81" s="77"/>
      <c r="E81" s="77" t="s">
        <v>43</v>
      </c>
      <c r="F81" s="77"/>
      <c r="G81" s="77"/>
      <c r="H81" s="77"/>
      <c r="I81" s="51"/>
      <c r="J81" s="51"/>
      <c r="K81" s="51"/>
      <c r="L81" s="141"/>
    </row>
    <row r="82" spans="1:12" x14ac:dyDescent="0.25">
      <c r="A82" s="77"/>
      <c r="B82" s="77"/>
      <c r="C82" s="77"/>
      <c r="D82" s="77"/>
      <c r="E82" s="77"/>
      <c r="F82" s="77" t="s">
        <v>7712</v>
      </c>
      <c r="G82" s="77"/>
      <c r="H82" s="77"/>
      <c r="I82" s="51">
        <v>1942.43</v>
      </c>
      <c r="J82" s="51">
        <v>0</v>
      </c>
      <c r="K82" s="51">
        <f t="shared" ref="K82:K91" si="7">ROUND((I82-J82),5)</f>
        <v>1942.43</v>
      </c>
      <c r="L82" s="141">
        <f t="shared" ref="L82:L91" si="8">ROUND(IF(I82=0, IF(J82=0, 0, SIGN(-J82)), IF(J82=0, SIGN(I82), (I82-J82)/ABS(J82))),5)</f>
        <v>1</v>
      </c>
    </row>
    <row r="83" spans="1:12" s="96" customFormat="1" x14ac:dyDescent="0.25">
      <c r="A83" s="77"/>
      <c r="B83" s="77"/>
      <c r="C83" s="77"/>
      <c r="D83" s="77"/>
      <c r="E83" s="77"/>
      <c r="F83" s="77" t="s">
        <v>7437</v>
      </c>
      <c r="G83" s="77"/>
      <c r="H83" s="77"/>
      <c r="I83" s="51">
        <v>1246.3</v>
      </c>
      <c r="J83" s="51">
        <v>264.61</v>
      </c>
      <c r="K83" s="51">
        <f t="shared" si="7"/>
        <v>981.69</v>
      </c>
      <c r="L83" s="141">
        <f t="shared" si="8"/>
        <v>3.7099500000000001</v>
      </c>
    </row>
    <row r="84" spans="1:12" s="96" customFormat="1" x14ac:dyDescent="0.25">
      <c r="A84" s="77"/>
      <c r="B84" s="77"/>
      <c r="C84" s="77"/>
      <c r="D84" s="77"/>
      <c r="E84" s="77"/>
      <c r="F84" s="77" t="s">
        <v>7438</v>
      </c>
      <c r="G84" s="77"/>
      <c r="H84" s="77"/>
      <c r="I84" s="51">
        <v>18102.78</v>
      </c>
      <c r="J84" s="51">
        <v>9454.64</v>
      </c>
      <c r="K84" s="51">
        <f t="shared" si="7"/>
        <v>8648.14</v>
      </c>
      <c r="L84" s="141">
        <f t="shared" si="8"/>
        <v>0.91469999999999996</v>
      </c>
    </row>
    <row r="85" spans="1:12" s="96" customFormat="1" x14ac:dyDescent="0.25">
      <c r="A85" s="77"/>
      <c r="B85" s="77"/>
      <c r="C85" s="77"/>
      <c r="D85" s="77"/>
      <c r="E85" s="77"/>
      <c r="F85" s="77" t="s">
        <v>44</v>
      </c>
      <c r="G85" s="77"/>
      <c r="H85" s="77"/>
      <c r="I85" s="51">
        <v>45000</v>
      </c>
      <c r="J85" s="51">
        <v>45000</v>
      </c>
      <c r="K85" s="51">
        <f t="shared" si="7"/>
        <v>0</v>
      </c>
      <c r="L85" s="141">
        <f t="shared" si="8"/>
        <v>0</v>
      </c>
    </row>
    <row r="86" spans="1:12" s="96" customFormat="1" ht="15.75" thickBot="1" x14ac:dyDescent="0.3">
      <c r="A86" s="77"/>
      <c r="B86" s="77"/>
      <c r="C86" s="77"/>
      <c r="D86" s="77"/>
      <c r="E86" s="77"/>
      <c r="F86" s="77" t="s">
        <v>7504</v>
      </c>
      <c r="G86" s="77"/>
      <c r="H86" s="77"/>
      <c r="I86" s="52">
        <v>0</v>
      </c>
      <c r="J86" s="52">
        <v>1344.78</v>
      </c>
      <c r="K86" s="52">
        <f t="shared" si="7"/>
        <v>-1344.78</v>
      </c>
      <c r="L86" s="143">
        <f t="shared" si="8"/>
        <v>-1</v>
      </c>
    </row>
    <row r="87" spans="1:12" s="96" customFormat="1" x14ac:dyDescent="0.25">
      <c r="A87" s="77"/>
      <c r="B87" s="77"/>
      <c r="C87" s="77"/>
      <c r="D87" s="77"/>
      <c r="E87" s="77" t="s">
        <v>45</v>
      </c>
      <c r="F87" s="77"/>
      <c r="G87" s="77"/>
      <c r="H87" s="77"/>
      <c r="I87" s="51">
        <f>ROUND(SUM(I81:I86),5)</f>
        <v>66291.509999999995</v>
      </c>
      <c r="J87" s="51">
        <f>ROUND(SUM(J81:J86),5)</f>
        <v>56064.03</v>
      </c>
      <c r="K87" s="51">
        <f t="shared" si="7"/>
        <v>10227.48</v>
      </c>
      <c r="L87" s="141">
        <f t="shared" si="8"/>
        <v>0.18242</v>
      </c>
    </row>
    <row r="88" spans="1:12" s="96" customFormat="1" ht="15.75" thickBot="1" x14ac:dyDescent="0.3">
      <c r="A88" s="77"/>
      <c r="B88" s="77"/>
      <c r="C88" s="77"/>
      <c r="D88" s="77"/>
      <c r="E88" s="77" t="s">
        <v>46</v>
      </c>
      <c r="F88" s="77"/>
      <c r="G88" s="77"/>
      <c r="H88" s="77"/>
      <c r="I88" s="51">
        <v>10151.17</v>
      </c>
      <c r="J88" s="51">
        <v>6577.55</v>
      </c>
      <c r="K88" s="51">
        <f t="shared" si="7"/>
        <v>3573.62</v>
      </c>
      <c r="L88" s="141">
        <f t="shared" si="8"/>
        <v>0.54330999999999996</v>
      </c>
    </row>
    <row r="89" spans="1:12" ht="15.75" thickBot="1" x14ac:dyDescent="0.3">
      <c r="A89" s="77"/>
      <c r="B89" s="77"/>
      <c r="C89" s="77"/>
      <c r="D89" s="77" t="s">
        <v>47</v>
      </c>
      <c r="E89" s="77"/>
      <c r="F89" s="77"/>
      <c r="G89" s="77"/>
      <c r="H89" s="77"/>
      <c r="I89" s="89">
        <f>ROUND(I42+I48+SUM(I70:I74)+I80+SUM(I87:I88),5)</f>
        <v>509614.15</v>
      </c>
      <c r="J89" s="89">
        <f>ROUND(J42+J48+SUM(J70:J74)+J80+SUM(J87:J88),5)</f>
        <v>469332.68</v>
      </c>
      <c r="K89" s="89">
        <f t="shared" si="7"/>
        <v>40281.47</v>
      </c>
      <c r="L89" s="140">
        <f t="shared" si="8"/>
        <v>8.5830000000000004E-2</v>
      </c>
    </row>
    <row r="90" spans="1:12" ht="15.75" thickBot="1" x14ac:dyDescent="0.3">
      <c r="A90" s="77"/>
      <c r="B90" s="77" t="s">
        <v>48</v>
      </c>
      <c r="C90" s="77"/>
      <c r="D90" s="77"/>
      <c r="E90" s="77"/>
      <c r="F90" s="77"/>
      <c r="G90" s="77"/>
      <c r="H90" s="77"/>
      <c r="I90" s="89">
        <f>ROUND(I3+I41-I89,5)</f>
        <v>-67864.710000000006</v>
      </c>
      <c r="J90" s="89">
        <f>ROUND(J3+J41-J89,5)</f>
        <v>-96474.49</v>
      </c>
      <c r="K90" s="89">
        <f t="shared" si="7"/>
        <v>28609.78</v>
      </c>
      <c r="L90" s="140">
        <f t="shared" si="8"/>
        <v>0.29654999999999998</v>
      </c>
    </row>
    <row r="91" spans="1:12" ht="15.75" thickBot="1" x14ac:dyDescent="0.3">
      <c r="A91" s="77" t="s">
        <v>49</v>
      </c>
      <c r="B91" s="77"/>
      <c r="C91" s="77"/>
      <c r="D91" s="77"/>
      <c r="E91" s="77"/>
      <c r="F91" s="77"/>
      <c r="G91" s="77"/>
      <c r="H91" s="77"/>
      <c r="I91" s="55">
        <f>I90</f>
        <v>-67864.710000000006</v>
      </c>
      <c r="J91" s="55">
        <f>J90</f>
        <v>-96474.49</v>
      </c>
      <c r="K91" s="55">
        <f t="shared" si="7"/>
        <v>28609.78</v>
      </c>
      <c r="L91" s="139">
        <f t="shared" si="8"/>
        <v>0.29654999999999998</v>
      </c>
    </row>
    <row r="92" spans="1:12" ht="15.75" thickTop="1" x14ac:dyDescent="0.25"/>
  </sheetData>
  <hyperlinks>
    <hyperlink ref="M2" location="Contents!A1" display="Contents" xr:uid="{1CD1CA9B-B691-4FCE-816F-AECAFF6D4A47}"/>
  </hyperlinks>
  <pageMargins left="0.7" right="0.7" top="0.75" bottom="0.75" header="0.3" footer="0.3"/>
  <pageSetup scale="5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7714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7713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7696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7712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7711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7710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7709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7708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7707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2"/>
  <sheetViews>
    <sheetView workbookViewId="0"/>
  </sheetViews>
  <sheetFormatPr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7864</v>
      </c>
      <c r="D1" s="37" t="s">
        <v>7803</v>
      </c>
      <c r="E1" s="38" t="s">
        <v>7863</v>
      </c>
      <c r="F1" s="38" t="s">
        <v>7863</v>
      </c>
      <c r="G1" s="146"/>
      <c r="H1" s="146"/>
      <c r="I1" s="146"/>
      <c r="J1" s="146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7804</v>
      </c>
      <c r="F2" s="38" t="s">
        <v>7806</v>
      </c>
      <c r="G2" s="38" t="s">
        <v>226</v>
      </c>
      <c r="H2" s="38" t="s">
        <v>7805</v>
      </c>
      <c r="I2" s="38" t="s">
        <v>7807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'May 22  vs May 21 P&amp;L'!I10</f>
        <v>5000</v>
      </c>
      <c r="F5" s="42">
        <v>0</v>
      </c>
      <c r="G5" s="42">
        <f>E5-F5</f>
        <v>5000</v>
      </c>
      <c r="H5" s="42">
        <f>'YTD US Profit and Loss'!I13</f>
        <v>95096.9</v>
      </c>
      <c r="I5" s="42">
        <f>'FY 22 Approved Bud monthly '!T17+'FY 22 Approved Bud monthly '!T20+'FY 22 Approved Bud monthly '!T21</f>
        <v>32500</v>
      </c>
      <c r="J5" s="42">
        <f>H5-I5</f>
        <v>62596.899999999994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'May 22  vs May 21 P&amp;L'!I14</f>
        <v>76393.5</v>
      </c>
      <c r="F6" s="42">
        <f>'FY 22 Approved Bud monthly '!K30+'FY 22 Approved Bud monthly '!K31</f>
        <v>45833.333333333328</v>
      </c>
      <c r="G6" s="42">
        <f t="shared" ref="G6:G10" si="0">E6-F6</f>
        <v>30560.166666666672</v>
      </c>
      <c r="H6" s="42">
        <f>'YTD US Profit and Loss'!I18</f>
        <v>335013.34000000003</v>
      </c>
      <c r="I6" s="42">
        <f>'FY 22 Approved Bud monthly '!T30+'FY 22 Approved Bud monthly '!T31</f>
        <v>229166.66666666666</v>
      </c>
      <c r="J6" s="42">
        <f t="shared" ref="J6:J10" si="1">H6-I6</f>
        <v>105846.67333333337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v>0</v>
      </c>
      <c r="F7" s="42">
        <v>0</v>
      </c>
      <c r="G7" s="42">
        <f t="shared" si="0"/>
        <v>0</v>
      </c>
      <c r="H7" s="42">
        <f>'YTD US Profit and Loss'!I28</f>
        <v>329.49</v>
      </c>
      <c r="I7" s="42"/>
      <c r="J7" s="42">
        <f t="shared" si="1"/>
        <v>329.49</v>
      </c>
      <c r="K7" s="44"/>
    </row>
    <row r="8" spans="1:15" ht="15.75" x14ac:dyDescent="0.25">
      <c r="A8" s="36"/>
      <c r="B8" s="36"/>
      <c r="C8" s="36"/>
      <c r="D8" s="36" t="s">
        <v>7865</v>
      </c>
      <c r="E8" s="42">
        <f>'May 22  vs May 21 P&amp;L'!I25</f>
        <v>2323.6799999999998</v>
      </c>
      <c r="F8" s="42">
        <f>'FY 22 Approved Bud monthly '!J33+'FY 22 Approved Bud monthly '!J34+'FY 22 Approved Bud monthly '!K24</f>
        <v>106666.66666666667</v>
      </c>
      <c r="G8" s="42">
        <f t="shared" si="0"/>
        <v>-104342.98666666668</v>
      </c>
      <c r="H8" s="42">
        <f>'YTD US Profit and Loss'!I33</f>
        <v>11308.79</v>
      </c>
      <c r="I8" s="42">
        <f>'FY 22 Approved Bud monthly '!T24+'FY 22 Approved Bud monthly '!T33+'FY 22 Approved Bud monthly '!T34</f>
        <v>133333.33333333334</v>
      </c>
      <c r="J8" s="42">
        <f t="shared" si="1"/>
        <v>-122024.54333333333</v>
      </c>
      <c r="K8" s="44"/>
    </row>
    <row r="9" spans="1:15" ht="15.75" x14ac:dyDescent="0.25">
      <c r="A9" s="36"/>
      <c r="B9" s="36"/>
      <c r="C9" s="36"/>
      <c r="D9" s="36" t="s">
        <v>236</v>
      </c>
      <c r="E9" s="42"/>
      <c r="F9" s="42"/>
      <c r="G9" s="42">
        <f t="shared" si="0"/>
        <v>0</v>
      </c>
      <c r="H9" s="42">
        <v>0</v>
      </c>
      <c r="I9" s="42">
        <f>'FY 22 Approved Bud monthly '!T35</f>
        <v>1000</v>
      </c>
      <c r="J9" s="42">
        <f t="shared" si="1"/>
        <v>-1000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/>
      <c r="F10" s="45"/>
      <c r="G10" s="45">
        <f t="shared" si="0"/>
        <v>0</v>
      </c>
      <c r="H10" s="45">
        <v>0</v>
      </c>
      <c r="I10" s="45">
        <f>'FY 22 Approved Bud monthly '!T36</f>
        <v>10000</v>
      </c>
      <c r="J10" s="45">
        <f t="shared" si="1"/>
        <v>-10000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2">SUM(E5:E10)</f>
        <v>83717.179999999993</v>
      </c>
      <c r="F11" s="46">
        <f t="shared" si="2"/>
        <v>152500</v>
      </c>
      <c r="G11" s="46">
        <f t="shared" si="2"/>
        <v>-68782.820000000007</v>
      </c>
      <c r="H11" s="46">
        <f t="shared" si="2"/>
        <v>441748.51999999996</v>
      </c>
      <c r="I11" s="46">
        <f t="shared" si="2"/>
        <v>406000</v>
      </c>
      <c r="J11" s="46">
        <f t="shared" si="2"/>
        <v>35748.520000000019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49" t="s">
        <v>230</v>
      </c>
      <c r="E13" s="42">
        <f>'May 22  vs May 21 P&amp;L'!I66+'May 22  vs May 21 P&amp;L'!P59</f>
        <v>15336.008798950383</v>
      </c>
      <c r="F13" s="42">
        <f>'FY 22 Approved Bud monthly '!K59+'FY 22 Approved Bud monthly '!K61+'FY 22 Approved Bud monthly '!K64+'FY 22 Approved Bud monthly '!K65</f>
        <v>111817.7892</v>
      </c>
      <c r="G13" s="42">
        <f>E13-F13</f>
        <v>-96481.780401049618</v>
      </c>
      <c r="H13" s="42">
        <f>'YTD US Profit and Loss'!I88+'YTD US Profit and Loss'!R69</f>
        <v>85091.825914312591</v>
      </c>
      <c r="I13" s="42">
        <f>'FY 22 Approved Bud monthly '!T59+'FY 22 Approved Bud monthly '!T61+'FY 22 Approved Bud monthly '!T64+'FY 22 Approved Bud monthly '!T65</f>
        <v>199088.946</v>
      </c>
      <c r="J13" s="42">
        <f t="shared" ref="J13:J20" si="3">H13-I13</f>
        <v>-113997.12008568741</v>
      </c>
      <c r="K13" s="44"/>
    </row>
    <row r="14" spans="1:15" ht="15.75" x14ac:dyDescent="0.25">
      <c r="A14" s="36"/>
      <c r="B14" s="36"/>
      <c r="C14" s="36"/>
      <c r="D14" s="49" t="s">
        <v>233</v>
      </c>
      <c r="E14" s="42">
        <f>'May 22  vs May 21 P&amp;L'!P58+'May 22  vs May 21 P&amp;L'!I52+'May 22  vs May 21 P&amp;L'!I51</f>
        <v>15867.633813984143</v>
      </c>
      <c r="F14" s="42">
        <f>'FY 22 Approved Bud monthly '!K42</f>
        <v>15213.333333333334</v>
      </c>
      <c r="G14" s="42">
        <f>E14-F14</f>
        <v>654.30048065080882</v>
      </c>
      <c r="H14" s="42">
        <f>'YTD US Profit and Loss'!R68+'YTD US Profit and Loss'!I71</f>
        <v>94152.196686660987</v>
      </c>
      <c r="I14" s="42">
        <f>'FY 22 Approved Bud monthly '!T42+'FY 22 Approved Bud monthly '!T53+'FY 22 Approved Bud monthly '!T54</f>
        <v>82461.666666666672</v>
      </c>
      <c r="J14" s="42">
        <f t="shared" si="3"/>
        <v>11690.530019994316</v>
      </c>
      <c r="K14" s="44"/>
    </row>
    <row r="15" spans="1:15" ht="15.75" x14ac:dyDescent="0.25">
      <c r="A15" s="36"/>
      <c r="B15" s="36"/>
      <c r="C15" s="36"/>
      <c r="D15" s="49" t="s">
        <v>162</v>
      </c>
      <c r="E15" s="42">
        <f>'May 22  vs May 21 P&amp;L'!I32+'May 22  vs May 21 P&amp;L'!P60-'May 22  vs May 21 P&amp;L'!I32</f>
        <v>6660.2399846196349</v>
      </c>
      <c r="F15" s="42">
        <f>'FY 22 Approved Bud monthly '!K72+'FY 22 Approved Bud monthly '!K75+'FY 22 Approved Bud monthly '!K76</f>
        <v>9000.7762000000002</v>
      </c>
      <c r="G15" s="42">
        <f>E15-F15</f>
        <v>-2340.5362153803653</v>
      </c>
      <c r="H15" s="42">
        <f>'YTD US Profit and Loss'!R70</f>
        <v>33027.45518646585</v>
      </c>
      <c r="I15" s="42">
        <f>'FY 22 Approved Bud monthly '!T72+'FY 22 Approved Bud monthly '!T75+'FY 22 Approved Bud monthly '!T76</f>
        <v>45003.880999999994</v>
      </c>
      <c r="J15" s="42">
        <f t="shared" si="3"/>
        <v>-11976.425813534144</v>
      </c>
      <c r="K15" s="44"/>
    </row>
    <row r="16" spans="1:15" ht="15.75" x14ac:dyDescent="0.25">
      <c r="A16" s="36"/>
      <c r="B16" s="36"/>
      <c r="C16" s="36"/>
      <c r="D16" s="49" t="s">
        <v>172</v>
      </c>
      <c r="E16" s="42">
        <f>'May 22  vs May 21 P&amp;L'!I53+'May 22  vs May 21 P&amp;L'!P61+'May 22  vs May 21 P&amp;L'!I32</f>
        <v>17334.003577348216</v>
      </c>
      <c r="F16" s="42">
        <f>'FY 22 Approved Bud monthly '!K87+'FY 22 Approved Bud monthly '!K88+'FY 22 Approved Bud monthly '!K91+'FY 22 Approved Bud monthly '!K93</f>
        <v>20555.965916666664</v>
      </c>
      <c r="G16" s="42">
        <f t="shared" ref="G16:G20" si="4">E16-F16</f>
        <v>-3221.9623393184484</v>
      </c>
      <c r="H16" s="42">
        <f>'YTD US Profit and Loss'!I48+'YTD US Profit and Loss'!I73+'YTD US Profit and Loss'!R71</f>
        <v>65014.442841914082</v>
      </c>
      <c r="I16" s="42">
        <f>'FY 22 Approved Bud monthly '!T87+'FY 22 Approved Bud monthly '!T88+'FY 22 Approved Bud monthly '!T91+'FY 22 Approved Bud monthly '!T93</f>
        <v>82779.829583333325</v>
      </c>
      <c r="J16" s="42">
        <f t="shared" si="3"/>
        <v>-17765.386741419243</v>
      </c>
      <c r="K16" s="44"/>
    </row>
    <row r="17" spans="1:16" ht="15.75" x14ac:dyDescent="0.25">
      <c r="A17" s="36"/>
      <c r="B17" s="36"/>
      <c r="C17" s="36"/>
      <c r="D17" s="49" t="s">
        <v>177</v>
      </c>
      <c r="E17" s="42">
        <f>'May 22  vs May 21 P&amp;L'!P62</f>
        <v>3754.2364168756708</v>
      </c>
      <c r="F17" s="42">
        <f>'FY 22 Approved Bud monthly '!K101</f>
        <v>3805.2697666666659</v>
      </c>
      <c r="G17" s="42">
        <f t="shared" si="4"/>
        <v>-51.033349790995089</v>
      </c>
      <c r="H17" s="42">
        <f>'YTD US Profit and Loss'!R72</f>
        <v>18616.877965973257</v>
      </c>
      <c r="I17" s="42">
        <f>'FY 22 Approved Bud monthly '!T101</f>
        <v>19026.34883333333</v>
      </c>
      <c r="J17" s="42">
        <f t="shared" si="3"/>
        <v>-409.47086736007259</v>
      </c>
      <c r="K17" s="44"/>
      <c r="L17" s="43"/>
      <c r="M17" s="43"/>
    </row>
    <row r="18" spans="1:16" ht="15.75" x14ac:dyDescent="0.25">
      <c r="A18" s="36"/>
      <c r="B18" s="36"/>
      <c r="C18" s="36"/>
      <c r="D18" s="49" t="s">
        <v>179</v>
      </c>
      <c r="E18" s="42">
        <f>'May 22  vs May 21 P&amp;L'!P63</f>
        <v>4563.2563087731151</v>
      </c>
      <c r="F18" s="42">
        <f>'FY 22 Approved Bud monthly '!K111</f>
        <v>4625.2871000000005</v>
      </c>
      <c r="G18" s="42">
        <f t="shared" si="4"/>
        <v>-62.030791226885412</v>
      </c>
      <c r="H18" s="42">
        <f>'YTD US Profit and Loss'!R73</f>
        <v>22628.72563006734</v>
      </c>
      <c r="I18" s="42">
        <f>'FY 22 Approved Bud monthly '!T111</f>
        <v>23126.435500000003</v>
      </c>
      <c r="J18" s="42">
        <f t="shared" si="3"/>
        <v>-497.70986993266342</v>
      </c>
      <c r="K18" s="44"/>
      <c r="L18" s="43"/>
    </row>
    <row r="19" spans="1:16" ht="15.75" x14ac:dyDescent="0.25">
      <c r="A19" s="36"/>
      <c r="B19" s="36"/>
      <c r="C19" s="36"/>
      <c r="D19" s="49" t="s">
        <v>7808</v>
      </c>
      <c r="E19" s="42">
        <f>'May 22  vs May 21 P&amp;L'!I50+'May 22  vs May 21 P&amp;L'!I65+'May 22  vs May 21 P&amp;L'!P64</f>
        <v>32168.709342824135</v>
      </c>
      <c r="F19" s="42">
        <f>'FY 22 Approved Bud monthly '!K120+'FY 22 Approved Bud monthly '!K123+'FY 22 Approved Bud monthly '!K126+'FY 22 Approved Bud monthly '!K128+'FY 22 Approved Bud monthly '!K129+'FY 22 Approved Bud monthly '!K130+'FY 22 Approved Bud monthly '!K131</f>
        <v>29643.042516666668</v>
      </c>
      <c r="G19" s="42">
        <f t="shared" si="4"/>
        <v>2525.6668261574669</v>
      </c>
      <c r="H19" s="42">
        <f>'YTD US Profit and Loss'!R74+'YTD US Profit and Loss'!I87+'YTD US Profit and Loss'!I70+'YTD US Profit and Loss'!I74</f>
        <v>162864.00419498712</v>
      </c>
      <c r="I19" s="42">
        <f>'FY 22 Approved Bud monthly '!T120+'FY 22 Approved Bud monthly '!T123+'FY 22 Approved Bud monthly '!T126+'FY 22 Approved Bud monthly '!T127+'FY 22 Approved Bud monthly '!T128+'FY 22 Approved Bud monthly '!T129+'FY 22 Approved Bud monthly '!T130+'FY 22 Approved Bud monthly '!T131</f>
        <v>167215.21258333337</v>
      </c>
      <c r="J19" s="42">
        <f t="shared" si="3"/>
        <v>-4351.2083883462474</v>
      </c>
      <c r="K19" s="44"/>
    </row>
    <row r="20" spans="1:16" ht="16.5" thickBot="1" x14ac:dyDescent="0.3">
      <c r="A20" s="36"/>
      <c r="B20" s="36"/>
      <c r="C20" s="36"/>
      <c r="D20" s="49" t="s">
        <v>201</v>
      </c>
      <c r="E20" s="42">
        <f>'May 22  vs May 21 P&amp;L'!P65</f>
        <v>5690.5017566247079</v>
      </c>
      <c r="F20" s="42">
        <f>'FY 22 Approved Bud monthly '!K124</f>
        <v>5767.8558000000003</v>
      </c>
      <c r="G20" s="42">
        <f t="shared" si="4"/>
        <v>-77.354043375292349</v>
      </c>
      <c r="H20" s="42">
        <f>'YTD US Profit and Loss'!R75</f>
        <v>28218.621579618819</v>
      </c>
      <c r="I20" s="42">
        <f>'FY 22 Approved Bud monthly '!T124</f>
        <v>28839.279000000002</v>
      </c>
      <c r="J20" s="42">
        <f t="shared" si="3"/>
        <v>-620.65742038118333</v>
      </c>
      <c r="O20" s="43"/>
      <c r="P20" s="43"/>
    </row>
    <row r="21" spans="1:16" ht="16.5" thickBot="1" x14ac:dyDescent="0.3">
      <c r="A21" s="36"/>
      <c r="B21" s="36"/>
      <c r="C21" s="36" t="s">
        <v>47</v>
      </c>
      <c r="D21" s="36"/>
      <c r="E21" s="47">
        <f t="shared" ref="E21:J21" si="5">SUM(E13:E20)</f>
        <v>101374.59000000001</v>
      </c>
      <c r="F21" s="47">
        <f t="shared" si="5"/>
        <v>200429.31983333331</v>
      </c>
      <c r="G21" s="47">
        <f t="shared" si="5"/>
        <v>-99054.729833333331</v>
      </c>
      <c r="H21" s="47">
        <f t="shared" si="5"/>
        <v>509614.15000000008</v>
      </c>
      <c r="I21" s="47">
        <f t="shared" si="5"/>
        <v>647541.59916666674</v>
      </c>
      <c r="J21" s="147">
        <f t="shared" si="5"/>
        <v>-137927.44916666663</v>
      </c>
      <c r="K21" s="43"/>
      <c r="L21" s="43"/>
      <c r="O21" s="43"/>
      <c r="P21" s="43"/>
    </row>
    <row r="22" spans="1:16" ht="16.5" thickBot="1" x14ac:dyDescent="0.3">
      <c r="A22" s="36"/>
      <c r="B22" s="36" t="s">
        <v>48</v>
      </c>
      <c r="C22" s="36"/>
      <c r="D22" s="36"/>
      <c r="E22" s="47">
        <f t="shared" ref="E22:J22" si="6">E11-E21</f>
        <v>-17657.410000000018</v>
      </c>
      <c r="F22" s="47">
        <f t="shared" si="6"/>
        <v>-47929.319833333313</v>
      </c>
      <c r="G22" s="47">
        <f t="shared" si="6"/>
        <v>30271.909833333324</v>
      </c>
      <c r="H22" s="47">
        <f t="shared" si="6"/>
        <v>-67865.630000000121</v>
      </c>
      <c r="I22" s="47">
        <f t="shared" si="6"/>
        <v>-241541.59916666674</v>
      </c>
      <c r="J22" s="148">
        <f t="shared" si="6"/>
        <v>173675.96916666665</v>
      </c>
      <c r="P22" s="43"/>
    </row>
    <row r="23" spans="1:16" ht="16.5" thickBot="1" x14ac:dyDescent="0.3">
      <c r="A23" s="36" t="s">
        <v>49</v>
      </c>
      <c r="B23" s="36"/>
      <c r="C23" s="36"/>
      <c r="D23" s="36"/>
      <c r="E23" s="149">
        <f>E22</f>
        <v>-17657.410000000018</v>
      </c>
      <c r="F23" s="149">
        <f>F22</f>
        <v>-47929.319833333313</v>
      </c>
      <c r="G23" s="149">
        <f>E23-F23</f>
        <v>30271.909833333295</v>
      </c>
      <c r="H23" s="149">
        <f>H22</f>
        <v>-67865.630000000121</v>
      </c>
      <c r="I23" s="149">
        <f>I22</f>
        <v>-241541.59916666674</v>
      </c>
      <c r="J23" s="150">
        <f>H23-I23</f>
        <v>173675.96916666662</v>
      </c>
      <c r="K23" s="2"/>
      <c r="L23" s="48"/>
      <c r="P23" s="43"/>
    </row>
    <row r="24" spans="1:16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L24" s="43"/>
    </row>
    <row r="26" spans="1:16" x14ac:dyDescent="0.25">
      <c r="E26" s="43"/>
      <c r="F26" s="43"/>
      <c r="H26" s="43"/>
      <c r="I26" s="43"/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J28" s="43"/>
    </row>
    <row r="29" spans="1:16" x14ac:dyDescent="0.25">
      <c r="H29" s="43"/>
      <c r="I29" s="43"/>
    </row>
    <row r="30" spans="1:16" x14ac:dyDescent="0.25">
      <c r="F30" s="43"/>
      <c r="H30" s="43"/>
    </row>
    <row r="31" spans="1:16" x14ac:dyDescent="0.25">
      <c r="F31" s="43"/>
      <c r="H31" s="43"/>
      <c r="J31" s="43"/>
    </row>
    <row r="32" spans="1:16" x14ac:dyDescent="0.25">
      <c r="F32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4b2fc3e3-4049-4520-9bc5-99ad76a257ee"/>
    <ds:schemaRef ds:uri="993ae820-dc91-4153-84ef-2e299ded01b6"/>
  </ds:schemaRefs>
</ds:datastoreItem>
</file>

<file path=customXml/itemProps3.xml><?xml version="1.0" encoding="utf-8"?>
<ds:datastoreItem xmlns:ds="http://schemas.openxmlformats.org/officeDocument/2006/customXml" ds:itemID="{3F95890B-35D6-4157-9D98-FE1524EA5D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US Balance Sheet Year over Year</vt:lpstr>
      <vt:lpstr>Balance Sheet Summary</vt:lpstr>
      <vt:lpstr>May 22  vs May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2022-05-19T18:28:20Z</cp:lastPrinted>
  <dcterms:created xsi:type="dcterms:W3CDTF">2021-02-18T00:23:14Z</dcterms:created>
  <dcterms:modified xsi:type="dcterms:W3CDTF">2022-06-24T02:50:30Z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