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appas\AppData\Local\Microsoft\Windows\INetCache\Content.Outlook\HPFEB2TF\"/>
    </mc:Choice>
  </mc:AlternateContent>
  <xr:revisionPtr revIDLastSave="0" documentId="13_ncr:1_{C18D27B7-18D3-4C8F-97AC-A119DF162E74}" xr6:coauthVersionLast="46" xr6:coauthVersionMax="46" xr10:uidLastSave="{00000000-0000-0000-0000-000000000000}"/>
  <bookViews>
    <workbookView xWindow="-120" yWindow="-120" windowWidth="29040" windowHeight="15840" activeTab="1" xr2:uid="{DC89F1E9-E26C-4C6E-BD39-67AE2C9FA8F9}"/>
  </bookViews>
  <sheets>
    <sheet name="Summary FY 21 Budget" sheetId="2" r:id="rId1"/>
    <sheet name="FY 21 Bud detail 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  <c r="B5" i="2"/>
  <c r="B8" i="2"/>
  <c r="B9" i="2"/>
  <c r="B11" i="2"/>
  <c r="B10" i="2"/>
  <c r="B12" i="2"/>
  <c r="B6" i="2"/>
  <c r="F130" i="1" l="1"/>
  <c r="F129" i="1"/>
  <c r="F127" i="1"/>
  <c r="F126" i="1"/>
  <c r="F125" i="1"/>
  <c r="B23" i="2" s="1"/>
  <c r="F124" i="1"/>
  <c r="F112" i="1"/>
  <c r="B21" i="2" s="1"/>
  <c r="F102" i="1"/>
  <c r="B20" i="2" s="1"/>
  <c r="F94" i="1"/>
  <c r="F92" i="1"/>
  <c r="F77" i="1"/>
  <c r="B18" i="2" s="1"/>
  <c r="F73" i="1"/>
  <c r="F67" i="1"/>
  <c r="F66" i="1"/>
  <c r="F62" i="1"/>
  <c r="F54" i="1"/>
  <c r="D54" i="1"/>
  <c r="F53" i="1"/>
  <c r="F52" i="1"/>
  <c r="D52" i="1"/>
  <c r="F51" i="1"/>
  <c r="F43" i="1"/>
  <c r="B17" i="2" s="1"/>
  <c r="C38" i="1"/>
  <c r="F18" i="1"/>
  <c r="F17" i="1"/>
  <c r="F16" i="1"/>
  <c r="D16" i="1"/>
  <c r="F15" i="1"/>
  <c r="F10" i="1"/>
  <c r="B22" i="2" l="1"/>
  <c r="F34" i="1"/>
  <c r="B13" i="2"/>
  <c r="B16" i="2"/>
  <c r="F133" i="1"/>
  <c r="B19" i="2"/>
  <c r="F135" i="1" l="1"/>
  <c r="F134" i="1"/>
  <c r="B24" i="2"/>
  <c r="B25" i="2" s="1"/>
  <c r="B2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tc={511FB778-A5B9-4C3B-914D-30F86407A8A5}</author>
    <author>tc={12C1DC3A-238B-4264-93B2-2B0EF96C594C}</author>
  </authors>
  <commentList>
    <comment ref="F129" authorId="0" shapeId="0" xr:uid="{511FB778-A5B9-4C3B-914D-30F86407A8A5}">
      <text>
        <t>[Threaded comment]
Your version of Excel allows you to read this threaded comment; however, any edits to it will get removed if the file is opened in a newer version of Excel. Learn more: https://go.microsoft.com/fwlink/?linkid=870924
Comment:
    Expensify, Vimeo, Amazon, Rack Space Mail chimp</t>
      </text>
    </comment>
    <comment ref="F130" authorId="1" shapeId="0" xr:uid="{12C1DC3A-238B-4264-93B2-2B0EF96C594C}">
      <text>
        <t>[Threaded comment]
Your version of Excel allows you to read this threaded comment; however, any edits to it will get removed if the file is opened in a newer version of Excel. Learn more: https://go.microsoft.com/fwlink/?linkid=870924
Comment:
    Media temple., google, form assembly</t>
      </text>
    </comment>
  </commentList>
</comments>
</file>

<file path=xl/sharedStrings.xml><?xml version="1.0" encoding="utf-8"?>
<sst xmlns="http://schemas.openxmlformats.org/spreadsheetml/2006/main" count="144" uniqueCount="109">
  <si>
    <t>FY21</t>
  </si>
  <si>
    <t>Income</t>
  </si>
  <si>
    <t>Conferences</t>
  </si>
  <si>
    <t>Registration</t>
  </si>
  <si>
    <t>Regional Events</t>
  </si>
  <si>
    <t xml:space="preserve"> Australia Day</t>
  </si>
  <si>
    <t>LASCON 2021</t>
  </si>
  <si>
    <t>APSEC local/regional</t>
  </si>
  <si>
    <t>Other Conferences</t>
  </si>
  <si>
    <t xml:space="preserve">Lightening Conferences </t>
  </si>
  <si>
    <t>Call to Battle</t>
  </si>
  <si>
    <t>To 7 Trainings</t>
  </si>
  <si>
    <t>Grant income</t>
  </si>
  <si>
    <t>Crowdfunding</t>
  </si>
  <si>
    <t>Google Summer of Code</t>
  </si>
  <si>
    <t>Bequests</t>
  </si>
  <si>
    <t>Corporate Sponsorship</t>
  </si>
  <si>
    <t>Membership</t>
  </si>
  <si>
    <t>Individual</t>
  </si>
  <si>
    <t>Corporate</t>
  </si>
  <si>
    <t>Fundraising and Donations</t>
  </si>
  <si>
    <t>Merchandise (drop shipping)</t>
  </si>
  <si>
    <t>Trademark licensing</t>
  </si>
  <si>
    <t>Online Training</t>
  </si>
  <si>
    <t>Interest</t>
  </si>
  <si>
    <t>Total Income</t>
  </si>
  <si>
    <t>Expenses</t>
  </si>
  <si>
    <t>Events Program</t>
  </si>
  <si>
    <t>Regional event</t>
  </si>
  <si>
    <t xml:space="preserve"> Australia Day </t>
  </si>
  <si>
    <t>Set up ANZ entity</t>
  </si>
  <si>
    <t>Eventbrite platform fees</t>
  </si>
  <si>
    <t>San Francisco Cancellation Contingency</t>
  </si>
  <si>
    <t>Dublin cancellation contingency</t>
  </si>
  <si>
    <t>Dublin deposit pre-paid expense</t>
  </si>
  <si>
    <t>LASCON</t>
  </si>
  <si>
    <t>Brain Breaks</t>
  </si>
  <si>
    <t xml:space="preserve">7 Trainings </t>
  </si>
  <si>
    <t>Bonus/Commission</t>
  </si>
  <si>
    <t>Projects and Technology Program</t>
  </si>
  <si>
    <t>Project Virtual Summit (x2)</t>
  </si>
  <si>
    <t>Online Books</t>
  </si>
  <si>
    <t>Grants</t>
  </si>
  <si>
    <t>Learning platform</t>
  </si>
  <si>
    <t>Awards</t>
  </si>
  <si>
    <t>Scholarships</t>
  </si>
  <si>
    <t>Marketing</t>
  </si>
  <si>
    <t>Project Platform fees</t>
  </si>
  <si>
    <t>Outreach and Marketing Program</t>
  </si>
  <si>
    <t>Outreach Virtual Event</t>
  </si>
  <si>
    <t>Merchandise costs</t>
  </si>
  <si>
    <t xml:space="preserve">CC fees for membership </t>
  </si>
  <si>
    <t>Local Partnerships</t>
  </si>
  <si>
    <t>Global Partnerships</t>
  </si>
  <si>
    <t>Online</t>
  </si>
  <si>
    <t>Branding &amp; Trademarks</t>
  </si>
  <si>
    <t>Event Promotions</t>
  </si>
  <si>
    <t>Chapters and Members Program</t>
  </si>
  <si>
    <t>Chapter pool/seed funds</t>
  </si>
  <si>
    <t>Membership rewards</t>
  </si>
  <si>
    <t>Local Events</t>
  </si>
  <si>
    <t>Chapter Platform Fees</t>
  </si>
  <si>
    <t>WIA, Diversity and Inclusion</t>
  </si>
  <si>
    <t>WIA, Diversity and Inclusion Virtual Event (x2)</t>
  </si>
  <si>
    <t>Education and Training</t>
  </si>
  <si>
    <t>Education Virtual Summit (x2)</t>
  </si>
  <si>
    <t>General and Administrative</t>
  </si>
  <si>
    <t>Travel</t>
  </si>
  <si>
    <t>Projects Summit Travel Assistance</t>
  </si>
  <si>
    <t>General Travel Assistance</t>
  </si>
  <si>
    <t>Staff</t>
  </si>
  <si>
    <t>Legal &amp; Insurance</t>
  </si>
  <si>
    <t>Trade Mark fees</t>
  </si>
  <si>
    <t>Staffing</t>
  </si>
  <si>
    <t>Fundraising</t>
  </si>
  <si>
    <t>Professional Services</t>
  </si>
  <si>
    <t>Bank Service Charges</t>
  </si>
  <si>
    <t>Other G&amp;A</t>
  </si>
  <si>
    <t>Software/Internet/Hosting</t>
  </si>
  <si>
    <t>Portal &amp; Web</t>
  </si>
  <si>
    <t>Replacement tech contingency</t>
  </si>
  <si>
    <t>Bad Debt</t>
  </si>
  <si>
    <t>Total Expenses</t>
  </si>
  <si>
    <t>P/L</t>
  </si>
  <si>
    <t>US-EU</t>
  </si>
  <si>
    <t>Conference Income</t>
  </si>
  <si>
    <t>Membership/Corp Income</t>
  </si>
  <si>
    <t>Merchandise</t>
  </si>
  <si>
    <t>Trademark</t>
  </si>
  <si>
    <t>Project and Technology</t>
  </si>
  <si>
    <t>Events</t>
  </si>
  <si>
    <t>OWASP FY 2021 Budget</t>
  </si>
  <si>
    <t>2021</t>
  </si>
  <si>
    <t xml:space="preserve">Program revenue </t>
  </si>
  <si>
    <t>General &amp; Administration-Staff</t>
  </si>
  <si>
    <t>Fundraising &amp; Development-Staff</t>
  </si>
  <si>
    <t>INCOME:</t>
  </si>
  <si>
    <t>EXPENSES:</t>
  </si>
  <si>
    <t xml:space="preserve">Grant Income </t>
  </si>
  <si>
    <t>Public Relations/Marketing</t>
  </si>
  <si>
    <t>20th Anniversary Virtual Fall 2021</t>
  </si>
  <si>
    <t>Board F2F Meetings (2x/yr.)</t>
  </si>
  <si>
    <t xml:space="preserve">Donations-Fundraising </t>
  </si>
  <si>
    <t>Nov 2021 Global APSEC</t>
  </si>
  <si>
    <t>Global APSEC Virtual 2</t>
  </si>
  <si>
    <t>Global APSEC Deferred Obligations</t>
  </si>
  <si>
    <t>APSEC Days</t>
  </si>
  <si>
    <t>APSEC Days Seed Fund</t>
  </si>
  <si>
    <t>Global APSEC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</si>
</sst>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_(&quot;$&quot;* #,##0_);_(&quot;$&quot;* \(#,##0\);_(&quot;$&quot;* &quot;-&quot;??_);_(@_)"/>
    <numFmt numFmtId="165" formatCode="#,##0.00;\-#,##0.00"/>
  </numFmts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164" fontId="5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2" fillId="3" borderId="0" xfId="2"/>
    <xf numFmtId="42" fontId="2" fillId="3" borderId="0" xfId="2" applyNumberFormat="1" applyAlignment="1"/>
    <xf numFmtId="0" fontId="2" fillId="3" borderId="0" xfId="2" applyAlignment="1"/>
    <xf numFmtId="164" fontId="2" fillId="3" borderId="0" xfId="2" applyNumberFormat="1" applyAlignment="1">
      <alignment horizontal="right"/>
    </xf>
    <xf numFmtId="164" fontId="0" fillId="4" borderId="0" xfId="0" applyNumberFormat="1" applyFill="1" applyAlignment="1">
      <alignment horizontal="right"/>
    </xf>
    <xf numFmtId="0" fontId="4" fillId="0" borderId="1" xfId="0" applyFont="1" applyBorder="1"/>
    <xf numFmtId="164" fontId="0" fillId="0" borderId="1" xfId="0" applyNumberFormat="1" applyBorder="1" applyAlignment="1">
      <alignment horizontal="right"/>
    </xf>
    <xf numFmtId="0" fontId="0" fillId="0" borderId="1" xfId="0" applyBorder="1"/>
    <xf numFmtId="164" fontId="4" fillId="0" borderId="0" xfId="0" applyNumberFormat="1" applyFont="1" applyAlignment="1">
      <alignment horizontal="right"/>
    </xf>
    <xf numFmtId="42" fontId="0" fillId="0" borderId="0" xfId="0" applyNumberFormat="1"/>
    <xf numFmtId="164" fontId="1" fillId="2" borderId="0" xfId="1" applyNumberFormat="1" applyAlignment="1">
      <alignment horizontal="right"/>
    </xf>
    <xf numFmtId="0" fontId="4" fillId="5" borderId="0" xfId="0" applyFont="1" applyFill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164" fontId="0" fillId="0" borderId="2" xfId="0" applyNumberFormat="1" applyBorder="1" applyAlignment="1">
      <alignment horizontal="right"/>
    </xf>
    <xf numFmtId="49" fontId="6" fillId="0" borderId="0" xfId="0" applyNumberFormat="1" applyFont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7" fillId="0" borderId="0" xfId="3" applyAlignment="1">
      <alignment horizontal="center"/>
    </xf>
    <xf numFmtId="165" fontId="8" fillId="0" borderId="0" xfId="0" applyNumberFormat="1" applyFont="1"/>
    <xf numFmtId="49" fontId="6" fillId="0" borderId="0" xfId="0" applyNumberFormat="1" applyFont="1"/>
    <xf numFmtId="42" fontId="8" fillId="0" borderId="0" xfId="0" applyNumberFormat="1" applyFont="1"/>
    <xf numFmtId="42" fontId="8" fillId="0" borderId="4" xfId="0" applyNumberFormat="1" applyFont="1" applyBorder="1"/>
    <xf numFmtId="42" fontId="6" fillId="0" borderId="0" xfId="0" applyNumberFormat="1" applyFont="1"/>
    <xf numFmtId="0" fontId="6" fillId="0" borderId="0" xfId="0" applyFont="1"/>
    <xf numFmtId="42" fontId="6" fillId="0" borderId="5" xfId="0" applyNumberFormat="1" applyFont="1" applyBorder="1"/>
    <xf numFmtId="42" fontId="6" fillId="0" borderId="6" xfId="0" applyNumberFormat="1" applyFont="1" applyBorder="1"/>
    <xf numFmtId="164" fontId="1" fillId="0" borderId="0" xfId="1" applyNumberFormat="1" applyFill="1" applyAlignment="1">
      <alignment horizontal="right"/>
    </xf>
  </cellXfs>
  <cellStyles count="4">
    <cellStyle name="Bad" xfId="2" builtinId="27"/>
    <cellStyle name="Good" xfId="1" builtinId="26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irtualinc-my.sharepoint.com/personal/tpappas_virtualinc_com/Documents/OWASP%202021%20Budget/OWASP%202021%20Budget%20-%20with%20Salaries-V11with%20r%20APSEC%202021%20Fall-Spread%20monthly-Present%20to%20Board%202.23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Bud "/>
      <sheetName val="21 Bud Kelly"/>
      <sheetName val="21 Bud"/>
      <sheetName val="FY21 Monthly "/>
      <sheetName val="Compare"/>
      <sheetName val="Staffing"/>
    </sheetNames>
    <sheetDataSet>
      <sheetData sheetId="0"/>
      <sheetData sheetId="1"/>
      <sheetData sheetId="2"/>
      <sheetData sheetId="3"/>
      <sheetData sheetId="4"/>
      <sheetData sheetId="5">
        <row r="2">
          <cell r="Z2">
            <v>0</v>
          </cell>
        </row>
        <row r="3">
          <cell r="Z3">
            <v>120000</v>
          </cell>
        </row>
        <row r="4">
          <cell r="Z4">
            <v>152755.19999999998</v>
          </cell>
        </row>
        <row r="5">
          <cell r="Z5">
            <v>79999.199999999997</v>
          </cell>
        </row>
        <row r="6">
          <cell r="Z6">
            <v>192000</v>
          </cell>
        </row>
        <row r="7">
          <cell r="Z7">
            <v>97200</v>
          </cell>
        </row>
        <row r="8">
          <cell r="Z8">
            <v>64224.000000000007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om Pappas" id="{810D91A2-A964-40B9-B791-69441AF65253}" userId="S::tpappas@virtualinc.com::317507f5-1595-4711-bb43-c799d668df6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29" dT="2020-11-30T23:22:17.77" personId="{810D91A2-A964-40B9-B791-69441AF65253}" id="{511FB778-A5B9-4C3B-914D-30F86407A8A5}">
    <text>Expensify, Vimeo, Amazon, Rack Space Mail chimp</text>
  </threadedComment>
  <threadedComment ref="F130" dT="2020-11-30T23:23:13.34" personId="{810D91A2-A964-40B9-B791-69441AF65253}" id="{12C1DC3A-238B-4264-93B2-2B0EF96C594C}">
    <text>Media temple., google, form assembly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1CE8D-03FC-47CD-B1A3-C7486C143DF2}">
  <dimension ref="A1:B27"/>
  <sheetViews>
    <sheetView workbookViewId="0">
      <selection activeCell="D18" sqref="D18"/>
    </sheetView>
  </sheetViews>
  <sheetFormatPr defaultRowHeight="15" x14ac:dyDescent="0.25"/>
  <cols>
    <col min="1" max="1" width="48.7109375" customWidth="1"/>
    <col min="2" max="2" width="44.7109375" customWidth="1"/>
  </cols>
  <sheetData>
    <row r="1" spans="1:2" ht="17.25" thickTop="1" thickBot="1" x14ac:dyDescent="0.3">
      <c r="A1" s="21" t="s">
        <v>91</v>
      </c>
      <c r="B1" s="22" t="s">
        <v>92</v>
      </c>
    </row>
    <row r="2" spans="1:2" ht="17.25" thickTop="1" thickBot="1" x14ac:dyDescent="0.3">
      <c r="A2" s="21"/>
      <c r="B2" s="22" t="s">
        <v>84</v>
      </c>
    </row>
    <row r="3" spans="1:2" ht="16.5" thickTop="1" x14ac:dyDescent="0.25">
      <c r="A3" s="23"/>
      <c r="B3" s="24"/>
    </row>
    <row r="4" spans="1:2" ht="15.75" x14ac:dyDescent="0.25">
      <c r="A4" s="25" t="s">
        <v>96</v>
      </c>
      <c r="B4" s="24"/>
    </row>
    <row r="5" spans="1:2" ht="15.75" x14ac:dyDescent="0.25">
      <c r="A5" s="25" t="s">
        <v>85</v>
      </c>
      <c r="B5" s="26">
        <f>'FY 21 Bud detail '!F7+'FY 21 Bud detail '!F8+'FY 21 Bud detail '!F10+'FY 21 Bud detail '!F12+'FY 21 Bud detail '!F15+'FY 21 Bud detail '!F16+'FY 21 Bud detail '!F17+'FY 21 Bud detail '!F18</f>
        <v>875932.5</v>
      </c>
    </row>
    <row r="6" spans="1:2" ht="15.75" x14ac:dyDescent="0.25">
      <c r="A6" s="25" t="s">
        <v>86</v>
      </c>
      <c r="B6" s="26">
        <f>'FY 21 Bud detail '!F25+'FY 21 Bud detail '!F26</f>
        <v>350000</v>
      </c>
    </row>
    <row r="7" spans="1:2" ht="15.75" x14ac:dyDescent="0.25">
      <c r="A7" s="25" t="s">
        <v>98</v>
      </c>
      <c r="B7" s="26">
        <f>'FY 21 Bud detail '!F19</f>
        <v>10000</v>
      </c>
    </row>
    <row r="8" spans="1:2" ht="15.75" x14ac:dyDescent="0.25">
      <c r="A8" s="25" t="s">
        <v>16</v>
      </c>
      <c r="B8" s="26">
        <f>'FY 21 Bud detail '!F23</f>
        <v>50000</v>
      </c>
    </row>
    <row r="9" spans="1:2" ht="15.75" x14ac:dyDescent="0.25">
      <c r="A9" s="25" t="s">
        <v>93</v>
      </c>
      <c r="B9" s="26">
        <f>'FY 21 Bud detail '!F21</f>
        <v>6500</v>
      </c>
    </row>
    <row r="10" spans="1:2" ht="15.75" x14ac:dyDescent="0.25">
      <c r="A10" s="25" t="s">
        <v>102</v>
      </c>
      <c r="B10" s="26">
        <f>'FY 21 Bud detail '!F28+'FY 21 Bud detail '!F29</f>
        <v>36000</v>
      </c>
    </row>
    <row r="11" spans="1:2" ht="15.75" x14ac:dyDescent="0.25">
      <c r="A11" s="25" t="s">
        <v>87</v>
      </c>
      <c r="B11" s="26">
        <f>'FY 21 Bud detail '!F30</f>
        <v>20000</v>
      </c>
    </row>
    <row r="12" spans="1:2" ht="16.5" thickBot="1" x14ac:dyDescent="0.3">
      <c r="A12" s="25" t="s">
        <v>88</v>
      </c>
      <c r="B12" s="27">
        <f>'FY 21 Bud detail '!F31</f>
        <v>60000</v>
      </c>
    </row>
    <row r="13" spans="1:2" ht="15.75" x14ac:dyDescent="0.25">
      <c r="A13" s="25"/>
      <c r="B13" s="28">
        <f>SUM(B5:B12)</f>
        <v>1408432.5</v>
      </c>
    </row>
    <row r="14" spans="1:2" ht="15.75" x14ac:dyDescent="0.25">
      <c r="A14" s="25"/>
      <c r="B14" s="28"/>
    </row>
    <row r="15" spans="1:2" ht="15.75" x14ac:dyDescent="0.25">
      <c r="A15" s="25" t="s">
        <v>97</v>
      </c>
      <c r="B15" s="26"/>
    </row>
    <row r="16" spans="1:2" ht="15.75" x14ac:dyDescent="0.25">
      <c r="A16" s="29" t="s">
        <v>89</v>
      </c>
      <c r="B16" s="26">
        <f>'FY 21 Bud detail '!F61+'FY 21 Bud detail '!F62+'FY 21 Bud detail '!F66+'FY 21 Bud detail '!F67</f>
        <v>193666.4</v>
      </c>
    </row>
    <row r="17" spans="1:2" ht="15.75" x14ac:dyDescent="0.25">
      <c r="A17" s="29" t="s">
        <v>90</v>
      </c>
      <c r="B17" s="26">
        <f>'FY 21 Bud detail '!F38+'FY 21 Bud detail '!F39+'FY 21 Bud detail '!F41+'FY 21 Bud detail '!F43+'FY 21 Bud detail '!F50+'FY 21 Bud detail '!F51+'FY 21 Bud detail '!F52+'FY 21 Bud detail '!F53+'FY 21 Bud detail '!F54+'FY 21 Bud detail '!F55+'FY 21 Bud detail '!F56+'FY 21 Bud detail '!F42</f>
        <v>504760</v>
      </c>
    </row>
    <row r="18" spans="1:2" ht="15.75" x14ac:dyDescent="0.25">
      <c r="A18" s="29" t="s">
        <v>48</v>
      </c>
      <c r="B18" s="26">
        <f>'FY 21 Bud detail '!F71+'FY 21 Bud detail '!F73+'FY 21 Bud detail '!F77+'FY 21 Bud detail '!F83</f>
        <v>103552</v>
      </c>
    </row>
    <row r="19" spans="1:2" ht="15.75" x14ac:dyDescent="0.25">
      <c r="A19" s="29" t="s">
        <v>57</v>
      </c>
      <c r="B19" s="26">
        <f>'FY 21 Bud detail '!F89+'FY 21 Bud detail '!F92+'FY 21 Bud detail '!F94</f>
        <v>137111.72</v>
      </c>
    </row>
    <row r="20" spans="1:2" ht="15.75" x14ac:dyDescent="0.25">
      <c r="A20" s="29" t="s">
        <v>62</v>
      </c>
      <c r="B20" s="26">
        <f>'FY 21 Bud detail '!F102</f>
        <v>37999.919999999998</v>
      </c>
    </row>
    <row r="21" spans="1:2" ht="15.75" x14ac:dyDescent="0.25">
      <c r="A21" s="29" t="s">
        <v>64</v>
      </c>
      <c r="B21" s="26">
        <f>'FY 21 Bud detail '!F112</f>
        <v>46188.719999999994</v>
      </c>
    </row>
    <row r="22" spans="1:2" ht="15.75" x14ac:dyDescent="0.25">
      <c r="A22" s="29" t="s">
        <v>66</v>
      </c>
      <c r="B22" s="26">
        <f>'FY 21 Bud detail '!F121+'FY 21 Bud detail '!F122+'FY 21 Bud detail '!F124+'FY 21 Bud detail '!F126+'FY 21 Bud detail '!F127+'FY 21 Bud detail '!F129+'FY 21 Bud detail '!F130</f>
        <v>389599.64</v>
      </c>
    </row>
    <row r="23" spans="1:2" ht="16.5" thickBot="1" x14ac:dyDescent="0.3">
      <c r="A23" s="29" t="s">
        <v>74</v>
      </c>
      <c r="B23" s="26">
        <f>'FY 21 Bud detail '!F125</f>
        <v>90000</v>
      </c>
    </row>
    <row r="24" spans="1:2" ht="16.5" thickBot="1" x14ac:dyDescent="0.3">
      <c r="A24" s="25"/>
      <c r="B24" s="30">
        <f t="shared" ref="B24" si="0">SUM(B16:B23)</f>
        <v>1502878.4</v>
      </c>
    </row>
    <row r="25" spans="1:2" ht="16.5" thickBot="1" x14ac:dyDescent="0.3">
      <c r="A25" s="25"/>
      <c r="B25" s="30">
        <f>B13-B24</f>
        <v>-94445.899999999907</v>
      </c>
    </row>
    <row r="26" spans="1:2" ht="16.5" thickBot="1" x14ac:dyDescent="0.3">
      <c r="A26" s="25"/>
      <c r="B26" s="31">
        <f>B25</f>
        <v>-94445.899999999907</v>
      </c>
    </row>
    <row r="27" spans="1:2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8CAA1-A923-40FF-8552-DCB5F9F9E80B}">
  <dimension ref="A1:F135"/>
  <sheetViews>
    <sheetView tabSelected="1" workbookViewId="0">
      <selection activeCell="F56" sqref="F56"/>
    </sheetView>
  </sheetViews>
  <sheetFormatPr defaultRowHeight="15" x14ac:dyDescent="0.25"/>
  <cols>
    <col min="5" max="5" width="31.5703125" customWidth="1"/>
    <col min="6" max="6" width="16.42578125" customWidth="1"/>
  </cols>
  <sheetData>
    <row r="1" spans="1:6" x14ac:dyDescent="0.25">
      <c r="A1" s="1"/>
      <c r="B1" s="2"/>
      <c r="C1" s="2"/>
      <c r="D1" s="2"/>
      <c r="E1" s="2"/>
      <c r="F1" s="3"/>
    </row>
    <row r="2" spans="1:6" x14ac:dyDescent="0.25">
      <c r="A2" s="1"/>
      <c r="B2" s="2"/>
      <c r="C2" s="2"/>
      <c r="D2" s="2"/>
      <c r="E2" s="2"/>
      <c r="F2" s="4" t="s">
        <v>0</v>
      </c>
    </row>
    <row r="3" spans="1:6" x14ac:dyDescent="0.25">
      <c r="A3" s="1" t="s">
        <v>1</v>
      </c>
      <c r="B3" s="2"/>
      <c r="C3" s="2"/>
      <c r="D3" s="2"/>
      <c r="E3" s="2"/>
      <c r="F3" s="3"/>
    </row>
    <row r="4" spans="1:6" x14ac:dyDescent="0.25">
      <c r="A4" s="1"/>
      <c r="B4" s="2" t="s">
        <v>2</v>
      </c>
      <c r="C4" s="2"/>
      <c r="D4" s="2"/>
      <c r="E4" s="2"/>
      <c r="F4" s="3"/>
    </row>
    <row r="5" spans="1:6" x14ac:dyDescent="0.25">
      <c r="A5" s="1"/>
      <c r="B5" s="2"/>
      <c r="C5" s="2" t="s">
        <v>3</v>
      </c>
      <c r="D5" s="2"/>
      <c r="E5" s="2"/>
      <c r="F5" s="5"/>
    </row>
    <row r="6" spans="1:6" x14ac:dyDescent="0.25">
      <c r="A6" s="1"/>
      <c r="B6" s="2"/>
      <c r="C6" s="2"/>
      <c r="D6" s="2" t="s">
        <v>108</v>
      </c>
      <c r="E6" s="2"/>
      <c r="F6" s="3"/>
    </row>
    <row r="7" spans="1:6" x14ac:dyDescent="0.25">
      <c r="A7" s="1"/>
      <c r="B7" s="2"/>
      <c r="C7" s="2"/>
      <c r="D7" s="2"/>
      <c r="E7" s="6" t="s">
        <v>103</v>
      </c>
      <c r="F7" s="7">
        <v>350000</v>
      </c>
    </row>
    <row r="8" spans="1:6" x14ac:dyDescent="0.25">
      <c r="A8" s="1"/>
      <c r="B8" s="2"/>
      <c r="C8" s="2"/>
      <c r="D8" s="2"/>
      <c r="E8" s="6" t="s">
        <v>100</v>
      </c>
      <c r="F8" s="7">
        <v>50000</v>
      </c>
    </row>
    <row r="9" spans="1:6" x14ac:dyDescent="0.25">
      <c r="A9" s="1"/>
      <c r="B9" s="2"/>
      <c r="C9" s="8" t="s">
        <v>4</v>
      </c>
      <c r="D9" s="8"/>
      <c r="E9" s="8"/>
      <c r="F9" s="9"/>
    </row>
    <row r="10" spans="1:6" x14ac:dyDescent="0.25">
      <c r="A10" s="1"/>
      <c r="B10" s="2"/>
      <c r="C10" s="2"/>
      <c r="D10" s="2"/>
      <c r="E10" s="6" t="s">
        <v>5</v>
      </c>
      <c r="F10" s="9">
        <f>(550*227.15)</f>
        <v>124932.5</v>
      </c>
    </row>
    <row r="11" spans="1:6" x14ac:dyDescent="0.25">
      <c r="A11" s="1"/>
      <c r="B11" s="2"/>
      <c r="C11" s="2"/>
      <c r="D11" s="2" t="s">
        <v>106</v>
      </c>
      <c r="E11" s="2"/>
      <c r="F11" s="5"/>
    </row>
    <row r="12" spans="1:6" x14ac:dyDescent="0.25">
      <c r="A12" s="1"/>
      <c r="B12" s="2"/>
      <c r="C12" s="2"/>
      <c r="D12" s="2"/>
      <c r="E12" s="8" t="s">
        <v>6</v>
      </c>
      <c r="F12" s="9">
        <v>110000</v>
      </c>
    </row>
    <row r="13" spans="1:6" x14ac:dyDescent="0.25">
      <c r="A13" s="1"/>
      <c r="B13" s="2"/>
      <c r="C13" s="2"/>
      <c r="D13" s="2"/>
      <c r="E13" s="2" t="s">
        <v>7</v>
      </c>
      <c r="F13" s="10"/>
    </row>
    <row r="14" spans="1:6" x14ac:dyDescent="0.25">
      <c r="A14" s="1"/>
      <c r="B14" s="2"/>
      <c r="C14" s="2" t="s">
        <v>8</v>
      </c>
      <c r="D14" s="2"/>
      <c r="E14" s="2"/>
      <c r="F14" s="5"/>
    </row>
    <row r="15" spans="1:6" x14ac:dyDescent="0.25">
      <c r="A15" s="1"/>
      <c r="B15" s="2"/>
      <c r="C15" s="2"/>
      <c r="D15" s="2" t="s">
        <v>9</v>
      </c>
      <c r="E15" s="2"/>
      <c r="F15" s="5">
        <f>10000*5</f>
        <v>50000</v>
      </c>
    </row>
    <row r="16" spans="1:6" x14ac:dyDescent="0.25">
      <c r="A16" s="1"/>
      <c r="B16" s="2"/>
      <c r="C16" s="2"/>
      <c r="D16" s="2" t="str">
        <f>D51</f>
        <v>Brain Breaks</v>
      </c>
      <c r="E16" s="2"/>
      <c r="F16" s="5">
        <f>6*10000</f>
        <v>60000</v>
      </c>
    </row>
    <row r="17" spans="1:6" x14ac:dyDescent="0.25">
      <c r="A17" s="1"/>
      <c r="B17" s="2"/>
      <c r="C17" s="2"/>
      <c r="D17" s="2" t="s">
        <v>10</v>
      </c>
      <c r="E17" s="2"/>
      <c r="F17" s="5">
        <f>4*3000</f>
        <v>12000</v>
      </c>
    </row>
    <row r="18" spans="1:6" x14ac:dyDescent="0.25">
      <c r="A18" s="1"/>
      <c r="B18" s="2"/>
      <c r="C18" s="2"/>
      <c r="D18" s="2" t="s">
        <v>11</v>
      </c>
      <c r="E18" s="2"/>
      <c r="F18" s="5">
        <f>17000*7</f>
        <v>119000</v>
      </c>
    </row>
    <row r="19" spans="1:6" x14ac:dyDescent="0.25">
      <c r="A19" s="1"/>
      <c r="B19" s="2" t="s">
        <v>12</v>
      </c>
      <c r="C19" s="2"/>
      <c r="D19" s="2"/>
      <c r="E19" s="2"/>
      <c r="F19" s="5">
        <v>10000</v>
      </c>
    </row>
    <row r="20" spans="1:6" x14ac:dyDescent="0.25">
      <c r="A20" s="1"/>
      <c r="B20" s="2" t="s">
        <v>13</v>
      </c>
      <c r="C20" s="2"/>
      <c r="D20" s="2"/>
      <c r="E20" s="2"/>
      <c r="F20" s="5"/>
    </row>
    <row r="21" spans="1:6" x14ac:dyDescent="0.25">
      <c r="A21" s="1"/>
      <c r="B21" s="2" t="s">
        <v>14</v>
      </c>
      <c r="C21" s="2"/>
      <c r="D21" s="2"/>
      <c r="E21" s="2"/>
      <c r="F21" s="5">
        <v>6500</v>
      </c>
    </row>
    <row r="22" spans="1:6" x14ac:dyDescent="0.25">
      <c r="A22" s="1"/>
      <c r="B22" s="2" t="s">
        <v>15</v>
      </c>
      <c r="C22" s="2"/>
      <c r="D22" s="2"/>
      <c r="E22" s="2"/>
      <c r="F22" s="5"/>
    </row>
    <row r="23" spans="1:6" x14ac:dyDescent="0.25">
      <c r="A23" s="1"/>
      <c r="B23" s="2" t="s">
        <v>16</v>
      </c>
      <c r="C23" s="2"/>
      <c r="D23" s="2"/>
      <c r="E23" s="2"/>
      <c r="F23" s="3">
        <v>50000</v>
      </c>
    </row>
    <row r="24" spans="1:6" x14ac:dyDescent="0.25">
      <c r="A24" s="1"/>
      <c r="B24" s="2" t="s">
        <v>17</v>
      </c>
      <c r="C24" s="2"/>
      <c r="D24" s="2"/>
      <c r="E24" s="2"/>
      <c r="F24" s="3"/>
    </row>
    <row r="25" spans="1:6" x14ac:dyDescent="0.25">
      <c r="A25" s="1"/>
      <c r="B25" s="2"/>
      <c r="C25" s="2"/>
      <c r="D25" s="2" t="s">
        <v>18</v>
      </c>
      <c r="E25" s="2"/>
      <c r="F25" s="5">
        <v>150000</v>
      </c>
    </row>
    <row r="26" spans="1:6" x14ac:dyDescent="0.25">
      <c r="A26" s="1"/>
      <c r="B26" s="2"/>
      <c r="C26" s="2"/>
      <c r="D26" s="2" t="s">
        <v>19</v>
      </c>
      <c r="E26" s="2"/>
      <c r="F26" s="5">
        <v>200000</v>
      </c>
    </row>
    <row r="27" spans="1:6" x14ac:dyDescent="0.25">
      <c r="A27" s="1"/>
      <c r="B27" s="2" t="s">
        <v>20</v>
      </c>
      <c r="C27" s="2"/>
      <c r="D27" s="2"/>
      <c r="E27" s="2"/>
      <c r="F27" s="5"/>
    </row>
    <row r="28" spans="1:6" x14ac:dyDescent="0.25">
      <c r="A28" s="1"/>
      <c r="B28" s="2"/>
      <c r="C28" s="2"/>
      <c r="D28" s="2" t="s">
        <v>19</v>
      </c>
      <c r="E28" s="2"/>
      <c r="F28" s="5">
        <v>20000</v>
      </c>
    </row>
    <row r="29" spans="1:6" x14ac:dyDescent="0.25">
      <c r="A29" s="1"/>
      <c r="B29" s="2"/>
      <c r="C29" s="2"/>
      <c r="D29" s="2" t="s">
        <v>18</v>
      </c>
      <c r="E29" s="2"/>
      <c r="F29" s="5">
        <v>16000</v>
      </c>
    </row>
    <row r="30" spans="1:6" x14ac:dyDescent="0.25">
      <c r="A30" s="1"/>
      <c r="B30" s="2" t="s">
        <v>21</v>
      </c>
      <c r="C30" s="2"/>
      <c r="D30" s="2"/>
      <c r="E30" s="2"/>
      <c r="F30" s="5">
        <v>20000</v>
      </c>
    </row>
    <row r="31" spans="1:6" x14ac:dyDescent="0.25">
      <c r="A31" s="1"/>
      <c r="B31" s="2" t="s">
        <v>22</v>
      </c>
      <c r="C31" s="2"/>
      <c r="D31" s="2"/>
      <c r="E31" s="2"/>
      <c r="F31" s="5">
        <v>60000</v>
      </c>
    </row>
    <row r="32" spans="1:6" x14ac:dyDescent="0.25">
      <c r="A32" s="1"/>
      <c r="B32" s="2" t="s">
        <v>23</v>
      </c>
      <c r="C32" s="2"/>
      <c r="D32" s="2"/>
      <c r="E32" s="2"/>
      <c r="F32" s="5"/>
    </row>
    <row r="33" spans="1:6" x14ac:dyDescent="0.25">
      <c r="A33" s="1"/>
      <c r="B33" s="2" t="s">
        <v>24</v>
      </c>
      <c r="C33" s="2"/>
      <c r="D33" s="2"/>
      <c r="E33" s="11"/>
      <c r="F33" s="12">
        <v>0</v>
      </c>
    </row>
    <row r="34" spans="1:6" x14ac:dyDescent="0.25">
      <c r="A34" s="1"/>
      <c r="B34" s="2"/>
      <c r="C34" s="2"/>
      <c r="D34" s="2"/>
      <c r="E34" s="13" t="s">
        <v>25</v>
      </c>
      <c r="F34" s="12">
        <f>SUM(F5:F33)</f>
        <v>1408432.5</v>
      </c>
    </row>
    <row r="35" spans="1:6" x14ac:dyDescent="0.25">
      <c r="A35" s="1"/>
      <c r="B35" s="2"/>
      <c r="C35" s="2"/>
      <c r="D35" s="2"/>
      <c r="E35" s="2"/>
      <c r="F35" s="3"/>
    </row>
    <row r="36" spans="1:6" x14ac:dyDescent="0.25">
      <c r="A36" s="1" t="s">
        <v>26</v>
      </c>
      <c r="B36" s="2"/>
      <c r="C36" s="2"/>
      <c r="D36" s="2"/>
      <c r="E36" s="2"/>
      <c r="F36" s="3"/>
    </row>
    <row r="37" spans="1:6" x14ac:dyDescent="0.25">
      <c r="A37" s="1"/>
      <c r="B37" s="1" t="s">
        <v>27</v>
      </c>
      <c r="C37" s="1"/>
      <c r="D37" s="1"/>
      <c r="E37" s="1"/>
      <c r="F37" s="4"/>
    </row>
    <row r="38" spans="1:6" x14ac:dyDescent="0.25">
      <c r="A38" s="1"/>
      <c r="B38" s="2"/>
      <c r="C38" s="6" t="str">
        <f>E8</f>
        <v>20th Anniversary Virtual Fall 2021</v>
      </c>
      <c r="D38" s="8"/>
      <c r="E38" s="6"/>
      <c r="F38" s="7">
        <v>45000</v>
      </c>
    </row>
    <row r="39" spans="1:6" x14ac:dyDescent="0.25">
      <c r="A39" s="1"/>
      <c r="C39" s="6" t="s">
        <v>104</v>
      </c>
      <c r="D39" s="6"/>
      <c r="E39" s="6"/>
      <c r="F39" s="9">
        <v>75000</v>
      </c>
    </row>
    <row r="40" spans="1:6" x14ac:dyDescent="0.25">
      <c r="A40" s="1"/>
      <c r="B40" t="s">
        <v>28</v>
      </c>
      <c r="F40" s="14"/>
    </row>
    <row r="41" spans="1:6" x14ac:dyDescent="0.25">
      <c r="A41" s="1"/>
      <c r="B41" s="2"/>
      <c r="C41" s="6" t="s">
        <v>29</v>
      </c>
      <c r="D41" s="6"/>
      <c r="E41" s="6"/>
      <c r="F41" s="9">
        <v>80000</v>
      </c>
    </row>
    <row r="42" spans="1:6" x14ac:dyDescent="0.25">
      <c r="A42" s="1"/>
      <c r="B42" s="2"/>
      <c r="C42" s="2"/>
      <c r="D42" s="2" t="s">
        <v>30</v>
      </c>
      <c r="E42" s="2"/>
      <c r="F42" s="14">
        <v>5000</v>
      </c>
    </row>
    <row r="43" spans="1:6" x14ac:dyDescent="0.25">
      <c r="A43" s="1"/>
      <c r="B43" s="2"/>
      <c r="C43" s="2" t="s">
        <v>70</v>
      </c>
      <c r="D43" s="2"/>
      <c r="E43" s="2"/>
      <c r="F43" s="14">
        <f>[1]Staffing!Z2+([1]Staffing!Z7*0.8)</f>
        <v>77760</v>
      </c>
    </row>
    <row r="44" spans="1:6" x14ac:dyDescent="0.25">
      <c r="A44" s="1"/>
      <c r="B44" s="2"/>
      <c r="C44" s="2" t="s">
        <v>31</v>
      </c>
      <c r="D44" s="2"/>
      <c r="E44" s="2"/>
      <c r="F44" s="14"/>
    </row>
    <row r="45" spans="1:6" x14ac:dyDescent="0.25">
      <c r="A45" s="1"/>
      <c r="B45" s="2"/>
      <c r="C45" s="2" t="s">
        <v>105</v>
      </c>
      <c r="D45" s="2"/>
      <c r="E45" s="2"/>
      <c r="F45" s="14"/>
    </row>
    <row r="46" spans="1:6" x14ac:dyDescent="0.25">
      <c r="A46" s="1"/>
      <c r="B46" s="2"/>
      <c r="C46" s="2"/>
      <c r="D46" s="2" t="s">
        <v>32</v>
      </c>
      <c r="E46" s="2"/>
    </row>
    <row r="47" spans="1:6" x14ac:dyDescent="0.25">
      <c r="A47" s="1"/>
      <c r="B47" s="2"/>
      <c r="C47" s="2"/>
      <c r="D47" s="2" t="s">
        <v>33</v>
      </c>
      <c r="E47" s="2"/>
    </row>
    <row r="48" spans="1:6" x14ac:dyDescent="0.25">
      <c r="A48" s="1"/>
      <c r="B48" s="2"/>
      <c r="C48" s="2"/>
      <c r="D48" s="2" t="s">
        <v>34</v>
      </c>
      <c r="E48" s="2"/>
    </row>
    <row r="49" spans="1:6" x14ac:dyDescent="0.25">
      <c r="A49" s="1"/>
      <c r="B49" s="2"/>
      <c r="C49" s="2" t="s">
        <v>106</v>
      </c>
      <c r="D49" s="2"/>
      <c r="E49" s="2"/>
      <c r="F49" s="10">
        <v>0</v>
      </c>
    </row>
    <row r="50" spans="1:6" x14ac:dyDescent="0.25">
      <c r="A50" s="1"/>
      <c r="B50" s="2"/>
      <c r="C50" s="2"/>
      <c r="D50" s="8" t="s">
        <v>35</v>
      </c>
      <c r="E50" s="8"/>
      <c r="F50" s="7">
        <v>100000</v>
      </c>
    </row>
    <row r="51" spans="1:6" x14ac:dyDescent="0.25">
      <c r="A51" s="1"/>
      <c r="B51" s="2"/>
      <c r="C51" s="2"/>
      <c r="D51" s="2" t="s">
        <v>36</v>
      </c>
      <c r="F51" s="15">
        <f>6*2000</f>
        <v>12000</v>
      </c>
    </row>
    <row r="52" spans="1:6" x14ac:dyDescent="0.25">
      <c r="A52" s="1"/>
      <c r="B52" s="2"/>
      <c r="C52" s="2"/>
      <c r="D52" s="2" t="str">
        <f>D15</f>
        <v xml:space="preserve">Lightening Conferences </v>
      </c>
      <c r="F52" s="15">
        <f>3000</f>
        <v>3000</v>
      </c>
    </row>
    <row r="53" spans="1:6" x14ac:dyDescent="0.25">
      <c r="A53" s="1"/>
      <c r="B53" s="2"/>
      <c r="C53" s="2"/>
      <c r="D53" s="2" t="s">
        <v>37</v>
      </c>
      <c r="F53" s="15">
        <f>7*7000</f>
        <v>49000</v>
      </c>
    </row>
    <row r="54" spans="1:6" x14ac:dyDescent="0.25">
      <c r="A54" s="1"/>
      <c r="B54" s="2"/>
      <c r="C54" s="2"/>
      <c r="D54" s="2" t="str">
        <f>D17</f>
        <v>Call to Battle</v>
      </c>
      <c r="F54" s="15">
        <f>4*500</f>
        <v>2000</v>
      </c>
    </row>
    <row r="55" spans="1:6" x14ac:dyDescent="0.25">
      <c r="A55" s="1"/>
      <c r="B55" s="2"/>
      <c r="C55" s="2" t="s">
        <v>107</v>
      </c>
      <c r="D55" s="2"/>
      <c r="E55" s="2"/>
      <c r="F55" s="14">
        <v>36000</v>
      </c>
    </row>
    <row r="56" spans="1:6" x14ac:dyDescent="0.25">
      <c r="A56" s="1"/>
      <c r="B56" s="2"/>
      <c r="C56" s="2" t="s">
        <v>38</v>
      </c>
      <c r="D56" s="2"/>
      <c r="E56" s="2"/>
      <c r="F56" s="32">
        <v>20000</v>
      </c>
    </row>
    <row r="57" spans="1:6" x14ac:dyDescent="0.25">
      <c r="A57" s="1"/>
      <c r="B57" s="1" t="s">
        <v>39</v>
      </c>
      <c r="C57" s="2"/>
      <c r="D57" s="2"/>
      <c r="E57" s="2"/>
      <c r="F57" s="14"/>
    </row>
    <row r="58" spans="1:6" x14ac:dyDescent="0.25">
      <c r="A58" s="1"/>
      <c r="B58" s="2"/>
      <c r="C58" s="2" t="s">
        <v>40</v>
      </c>
      <c r="D58" s="2"/>
      <c r="E58" s="2"/>
      <c r="F58" s="14"/>
    </row>
    <row r="59" spans="1:6" x14ac:dyDescent="0.25">
      <c r="A59" s="1"/>
      <c r="B59" s="2"/>
      <c r="C59" s="2" t="s">
        <v>41</v>
      </c>
      <c r="D59" s="2"/>
      <c r="E59" s="2"/>
      <c r="F59" s="14"/>
    </row>
    <row r="60" spans="1:6" x14ac:dyDescent="0.25">
      <c r="A60" s="1"/>
      <c r="B60" s="2"/>
      <c r="C60" s="2" t="s">
        <v>42</v>
      </c>
      <c r="D60" s="2"/>
      <c r="E60" s="2"/>
      <c r="F60" s="14"/>
    </row>
    <row r="61" spans="1:6" x14ac:dyDescent="0.25">
      <c r="A61" s="1"/>
      <c r="B61" s="2"/>
      <c r="C61" s="2" t="s">
        <v>43</v>
      </c>
      <c r="D61" s="2"/>
      <c r="E61" s="2"/>
      <c r="F61" s="14">
        <v>10000</v>
      </c>
    </row>
    <row r="62" spans="1:6" x14ac:dyDescent="0.25">
      <c r="A62" s="1"/>
      <c r="B62" s="2"/>
      <c r="C62" s="2" t="s">
        <v>26</v>
      </c>
      <c r="D62" s="2"/>
      <c r="E62" s="2"/>
      <c r="F62" s="14">
        <f>1000*12+16000</f>
        <v>28000</v>
      </c>
    </row>
    <row r="63" spans="1:6" x14ac:dyDescent="0.25">
      <c r="A63" s="1"/>
      <c r="B63" s="2"/>
      <c r="C63" s="2" t="s">
        <v>44</v>
      </c>
      <c r="D63" s="2"/>
      <c r="E63" s="2"/>
      <c r="F63" s="14"/>
    </row>
    <row r="64" spans="1:6" x14ac:dyDescent="0.25">
      <c r="A64" s="1"/>
      <c r="B64" s="2"/>
      <c r="C64" s="2" t="s">
        <v>45</v>
      </c>
      <c r="D64" s="2"/>
      <c r="E64" s="2"/>
      <c r="F64" s="14"/>
    </row>
    <row r="65" spans="1:6" x14ac:dyDescent="0.25">
      <c r="A65" s="1"/>
      <c r="B65" s="2"/>
      <c r="C65" s="2" t="s">
        <v>46</v>
      </c>
      <c r="D65" s="2"/>
      <c r="E65" s="2"/>
      <c r="F65" s="14">
        <v>0</v>
      </c>
    </row>
    <row r="66" spans="1:6" x14ac:dyDescent="0.25">
      <c r="A66" s="1"/>
      <c r="B66" s="2"/>
      <c r="C66" s="2" t="s">
        <v>70</v>
      </c>
      <c r="D66" s="2"/>
      <c r="E66" s="2"/>
      <c r="F66" s="14">
        <f>([1]Staffing!Z4*0.75)+([1]Staffing!Z6*0.1)</f>
        <v>133766.39999999999</v>
      </c>
    </row>
    <row r="67" spans="1:6" x14ac:dyDescent="0.25">
      <c r="A67" s="1"/>
      <c r="B67" s="2"/>
      <c r="C67" s="2" t="s">
        <v>47</v>
      </c>
      <c r="D67" s="2"/>
      <c r="E67" s="2"/>
      <c r="F67" s="14">
        <f>7500+(1200*12)</f>
        <v>21900</v>
      </c>
    </row>
    <row r="68" spans="1:6" x14ac:dyDescent="0.25">
      <c r="A68" s="1"/>
      <c r="B68" s="2"/>
      <c r="C68" s="2"/>
      <c r="D68" s="2"/>
      <c r="E68" s="2"/>
      <c r="F68" s="14"/>
    </row>
    <row r="69" spans="1:6" x14ac:dyDescent="0.25">
      <c r="A69" s="1"/>
      <c r="B69" s="1" t="s">
        <v>48</v>
      </c>
      <c r="C69" s="2"/>
      <c r="D69" s="2"/>
      <c r="E69" s="2"/>
      <c r="F69" s="14"/>
    </row>
    <row r="70" spans="1:6" x14ac:dyDescent="0.25">
      <c r="A70" s="1"/>
      <c r="B70" s="2"/>
      <c r="C70" s="2" t="s">
        <v>49</v>
      </c>
      <c r="D70" s="2"/>
      <c r="E70" s="2"/>
      <c r="F70" s="14"/>
    </row>
    <row r="71" spans="1:6" x14ac:dyDescent="0.25">
      <c r="A71" s="1"/>
      <c r="B71" s="2"/>
      <c r="C71" s="2" t="s">
        <v>50</v>
      </c>
      <c r="D71" s="2"/>
      <c r="E71" s="2"/>
      <c r="F71" s="14">
        <v>10000</v>
      </c>
    </row>
    <row r="72" spans="1:6" x14ac:dyDescent="0.25">
      <c r="A72" s="1"/>
      <c r="B72" s="2"/>
      <c r="C72" s="2" t="s">
        <v>42</v>
      </c>
      <c r="D72" s="2"/>
      <c r="E72" s="2"/>
      <c r="F72" s="14"/>
    </row>
    <row r="73" spans="1:6" x14ac:dyDescent="0.25">
      <c r="A73" s="1"/>
      <c r="B73" s="2"/>
      <c r="C73" s="2" t="s">
        <v>51</v>
      </c>
      <c r="D73" s="2"/>
      <c r="E73" s="2"/>
      <c r="F73" s="14">
        <f>F25*0.04</f>
        <v>6000</v>
      </c>
    </row>
    <row r="74" spans="1:6" x14ac:dyDescent="0.25">
      <c r="A74" s="1"/>
      <c r="C74" s="2" t="s">
        <v>44</v>
      </c>
      <c r="D74" s="2"/>
      <c r="E74" s="2"/>
      <c r="F74" s="14"/>
    </row>
    <row r="75" spans="1:6" x14ac:dyDescent="0.25">
      <c r="A75" s="1"/>
      <c r="C75" s="2" t="s">
        <v>45</v>
      </c>
      <c r="D75" s="2"/>
      <c r="E75" s="2"/>
      <c r="F75" s="14"/>
    </row>
    <row r="76" spans="1:6" x14ac:dyDescent="0.25">
      <c r="A76" s="1"/>
      <c r="C76" s="2" t="s">
        <v>46</v>
      </c>
      <c r="D76" s="2"/>
      <c r="E76" s="2"/>
      <c r="F76" s="14"/>
    </row>
    <row r="77" spans="1:6" x14ac:dyDescent="0.25">
      <c r="A77" s="1"/>
      <c r="C77" s="2" t="s">
        <v>70</v>
      </c>
      <c r="D77" s="2"/>
      <c r="E77" s="2"/>
      <c r="F77" s="14">
        <f>([1]Staffing!Z8*0.5)+([1]Staffing!Z7*0.2)</f>
        <v>51552</v>
      </c>
    </row>
    <row r="78" spans="1:6" x14ac:dyDescent="0.25">
      <c r="A78" s="1"/>
      <c r="C78" s="2" t="s">
        <v>52</v>
      </c>
      <c r="D78" s="2"/>
      <c r="E78" s="2"/>
      <c r="F78" s="14"/>
    </row>
    <row r="79" spans="1:6" x14ac:dyDescent="0.25">
      <c r="A79" s="1"/>
      <c r="C79" s="2" t="s">
        <v>53</v>
      </c>
      <c r="D79" s="2"/>
      <c r="E79" s="2"/>
      <c r="F79" s="14"/>
    </row>
    <row r="80" spans="1:6" x14ac:dyDescent="0.25">
      <c r="A80" s="1"/>
      <c r="C80" s="2" t="s">
        <v>54</v>
      </c>
      <c r="D80" s="2"/>
      <c r="E80" s="2"/>
      <c r="F80" s="14"/>
    </row>
    <row r="81" spans="1:6" x14ac:dyDescent="0.25">
      <c r="A81" s="1"/>
      <c r="C81" s="2" t="s">
        <v>55</v>
      </c>
      <c r="D81" s="2"/>
      <c r="E81" s="2"/>
      <c r="F81" s="14"/>
    </row>
    <row r="82" spans="1:6" x14ac:dyDescent="0.25">
      <c r="A82" s="1"/>
      <c r="C82" s="2" t="s">
        <v>56</v>
      </c>
      <c r="D82" s="2"/>
      <c r="E82" s="2"/>
      <c r="F82" s="14"/>
    </row>
    <row r="83" spans="1:6" x14ac:dyDescent="0.25">
      <c r="A83" s="1"/>
      <c r="C83" s="2" t="s">
        <v>99</v>
      </c>
      <c r="D83" s="2"/>
      <c r="E83" s="2"/>
      <c r="F83" s="16">
        <v>36000</v>
      </c>
    </row>
    <row r="84" spans="1:6" x14ac:dyDescent="0.25">
      <c r="A84" s="1"/>
      <c r="C84" s="2"/>
      <c r="D84" s="2"/>
      <c r="E84" s="2"/>
      <c r="F84" s="14"/>
    </row>
    <row r="85" spans="1:6" x14ac:dyDescent="0.25">
      <c r="A85" s="1"/>
      <c r="B85" s="1" t="s">
        <v>57</v>
      </c>
      <c r="C85" s="2"/>
      <c r="D85" s="2"/>
      <c r="E85" s="2"/>
      <c r="F85" s="14"/>
    </row>
    <row r="86" spans="1:6" x14ac:dyDescent="0.25">
      <c r="A86" s="1"/>
      <c r="B86" s="2"/>
      <c r="C86" s="2" t="s">
        <v>42</v>
      </c>
      <c r="D86" s="2"/>
      <c r="E86" s="2"/>
      <c r="F86" s="14"/>
    </row>
    <row r="87" spans="1:6" x14ac:dyDescent="0.25">
      <c r="A87" s="1"/>
      <c r="B87" s="2"/>
      <c r="C87" s="2" t="s">
        <v>26</v>
      </c>
      <c r="D87" s="2"/>
      <c r="E87" s="2"/>
      <c r="F87" s="14"/>
    </row>
    <row r="88" spans="1:6" x14ac:dyDescent="0.25">
      <c r="A88" s="1"/>
      <c r="B88" s="2"/>
      <c r="C88" s="2" t="s">
        <v>44</v>
      </c>
      <c r="D88" s="2"/>
      <c r="E88" s="2"/>
      <c r="F88" s="14"/>
    </row>
    <row r="89" spans="1:6" x14ac:dyDescent="0.25">
      <c r="A89" s="1"/>
      <c r="B89" s="2"/>
      <c r="C89" s="2" t="s">
        <v>58</v>
      </c>
      <c r="D89" s="2"/>
      <c r="E89" s="2"/>
      <c r="F89" s="16">
        <v>64000</v>
      </c>
    </row>
    <row r="90" spans="1:6" x14ac:dyDescent="0.25">
      <c r="A90" s="1"/>
      <c r="B90" s="2"/>
      <c r="C90" s="2" t="s">
        <v>45</v>
      </c>
      <c r="D90" s="2"/>
      <c r="E90" s="2"/>
      <c r="F90" s="14"/>
    </row>
    <row r="91" spans="1:6" x14ac:dyDescent="0.25">
      <c r="A91" s="1"/>
      <c r="B91" s="2"/>
      <c r="C91" s="2" t="s">
        <v>59</v>
      </c>
      <c r="D91" s="2"/>
      <c r="E91" s="2"/>
      <c r="F91" s="14"/>
    </row>
    <row r="92" spans="1:6" x14ac:dyDescent="0.25">
      <c r="A92" s="1"/>
      <c r="B92" s="2"/>
      <c r="C92" s="2" t="s">
        <v>70</v>
      </c>
      <c r="D92" s="2"/>
      <c r="E92" s="2"/>
      <c r="F92" s="14">
        <f>([1]Staffing!Z8*0.5)+([1]Staffing!Z5*0.35)</f>
        <v>60111.72</v>
      </c>
    </row>
    <row r="93" spans="1:6" x14ac:dyDescent="0.25">
      <c r="A93" s="1"/>
      <c r="B93" s="2"/>
      <c r="C93" s="2" t="s">
        <v>60</v>
      </c>
      <c r="D93" s="2"/>
      <c r="E93" s="2"/>
      <c r="F93" s="14"/>
    </row>
    <row r="94" spans="1:6" x14ac:dyDescent="0.25">
      <c r="A94" s="1"/>
      <c r="B94" s="2"/>
      <c r="C94" s="2" t="s">
        <v>61</v>
      </c>
      <c r="D94" s="2"/>
      <c r="E94" s="2"/>
      <c r="F94" s="14">
        <f>1083*12+4</f>
        <v>13000</v>
      </c>
    </row>
    <row r="95" spans="1:6" x14ac:dyDescent="0.25">
      <c r="A95" s="1"/>
      <c r="B95" s="2"/>
      <c r="C95" s="2"/>
      <c r="D95" s="2"/>
      <c r="E95" s="2"/>
      <c r="F95" s="14"/>
    </row>
    <row r="96" spans="1:6" x14ac:dyDescent="0.25">
      <c r="A96" s="1"/>
      <c r="B96" s="1" t="s">
        <v>62</v>
      </c>
      <c r="C96" s="2"/>
      <c r="D96" s="2"/>
      <c r="E96" s="2"/>
      <c r="F96" s="14"/>
    </row>
    <row r="97" spans="1:6" x14ac:dyDescent="0.25">
      <c r="A97" s="1"/>
      <c r="B97" s="2"/>
      <c r="C97" s="2" t="s">
        <v>42</v>
      </c>
      <c r="D97" s="2"/>
      <c r="E97" s="2"/>
      <c r="F97" s="14"/>
    </row>
    <row r="98" spans="1:6" x14ac:dyDescent="0.25">
      <c r="A98" s="1"/>
      <c r="B98" s="2"/>
      <c r="C98" s="2" t="s">
        <v>26</v>
      </c>
      <c r="D98" s="2"/>
      <c r="E98" s="2"/>
      <c r="F98" s="14"/>
    </row>
    <row r="99" spans="1:6" x14ac:dyDescent="0.25">
      <c r="A99" s="1"/>
      <c r="B99" s="2"/>
      <c r="C99" s="2" t="s">
        <v>44</v>
      </c>
      <c r="D99" s="2"/>
      <c r="E99" s="2"/>
      <c r="F99" s="14"/>
    </row>
    <row r="100" spans="1:6" x14ac:dyDescent="0.25">
      <c r="A100" s="1"/>
      <c r="B100" s="2"/>
      <c r="C100" s="2" t="s">
        <v>45</v>
      </c>
      <c r="D100" s="2"/>
      <c r="E100" s="2"/>
      <c r="F100" s="14"/>
    </row>
    <row r="101" spans="1:6" x14ac:dyDescent="0.25">
      <c r="A101" s="1"/>
      <c r="B101" s="2"/>
      <c r="C101" s="2" t="s">
        <v>46</v>
      </c>
      <c r="D101" s="2"/>
      <c r="E101" s="2"/>
      <c r="F101" s="14"/>
    </row>
    <row r="102" spans="1:6" x14ac:dyDescent="0.25">
      <c r="A102" s="1"/>
      <c r="B102" s="2"/>
      <c r="C102" s="2" t="s">
        <v>70</v>
      </c>
      <c r="D102" s="2"/>
      <c r="E102" s="2"/>
      <c r="F102" s="14">
        <f>([1]Staffing!Z5*0.1)+([1]Staffing!Z3*0.25)</f>
        <v>37999.919999999998</v>
      </c>
    </row>
    <row r="103" spans="1:6" x14ac:dyDescent="0.25">
      <c r="A103" s="1"/>
      <c r="B103" s="2"/>
      <c r="C103" s="2" t="s">
        <v>60</v>
      </c>
      <c r="D103" s="2"/>
      <c r="E103" s="2"/>
      <c r="F103" s="14"/>
    </row>
    <row r="104" spans="1:6" x14ac:dyDescent="0.25">
      <c r="A104" s="1"/>
      <c r="B104" s="2"/>
      <c r="C104" s="2" t="s">
        <v>63</v>
      </c>
      <c r="D104" s="2"/>
      <c r="E104" s="2"/>
      <c r="F104" s="14"/>
    </row>
    <row r="105" spans="1:6" x14ac:dyDescent="0.25">
      <c r="A105" s="1"/>
      <c r="B105" s="2"/>
      <c r="C105" s="2"/>
      <c r="D105" s="2"/>
      <c r="E105" s="2"/>
      <c r="F105" s="14"/>
    </row>
    <row r="106" spans="1:6" x14ac:dyDescent="0.25">
      <c r="A106" s="1"/>
      <c r="B106" s="1" t="s">
        <v>64</v>
      </c>
      <c r="C106" s="2"/>
      <c r="D106" s="2"/>
      <c r="E106" s="2"/>
      <c r="F106" s="14"/>
    </row>
    <row r="107" spans="1:6" x14ac:dyDescent="0.25">
      <c r="A107" s="1"/>
      <c r="B107" s="2"/>
      <c r="C107" s="2" t="s">
        <v>42</v>
      </c>
      <c r="D107" s="2"/>
      <c r="E107" s="2"/>
      <c r="F107" s="14"/>
    </row>
    <row r="108" spans="1:6" x14ac:dyDescent="0.25">
      <c r="A108" s="1"/>
      <c r="B108" s="2"/>
      <c r="C108" s="2" t="s">
        <v>26</v>
      </c>
      <c r="D108" s="2"/>
      <c r="E108" s="2"/>
      <c r="F108" s="14"/>
    </row>
    <row r="109" spans="1:6" x14ac:dyDescent="0.25">
      <c r="A109" s="1"/>
      <c r="B109" s="2"/>
      <c r="C109" s="2" t="s">
        <v>44</v>
      </c>
      <c r="D109" s="2"/>
      <c r="E109" s="2"/>
      <c r="F109" s="14"/>
    </row>
    <row r="110" spans="1:6" x14ac:dyDescent="0.25">
      <c r="A110" s="1"/>
      <c r="B110" s="2"/>
      <c r="C110" s="2" t="s">
        <v>45</v>
      </c>
      <c r="D110" s="2"/>
      <c r="E110" s="2"/>
      <c r="F110" s="14"/>
    </row>
    <row r="111" spans="1:6" x14ac:dyDescent="0.25">
      <c r="A111" s="1"/>
      <c r="B111" s="2"/>
      <c r="C111" s="2" t="s">
        <v>46</v>
      </c>
      <c r="D111" s="2"/>
      <c r="E111" s="2"/>
      <c r="F111" s="14"/>
    </row>
    <row r="112" spans="1:6" x14ac:dyDescent="0.25">
      <c r="A112" s="1"/>
      <c r="B112" s="2"/>
      <c r="C112" s="2" t="s">
        <v>70</v>
      </c>
      <c r="D112" s="2"/>
      <c r="E112" s="2"/>
      <c r="F112" s="14">
        <f>([1]Staffing!Z5*0.1)+([1]Staffing!Z4*0.25)</f>
        <v>46188.719999999994</v>
      </c>
    </row>
    <row r="113" spans="1:6" x14ac:dyDescent="0.25">
      <c r="A113" s="1"/>
      <c r="B113" s="2"/>
      <c r="C113" s="2" t="s">
        <v>65</v>
      </c>
      <c r="D113" s="2"/>
      <c r="E113" s="2"/>
    </row>
    <row r="114" spans="1:6" x14ac:dyDescent="0.25">
      <c r="A114" s="1"/>
      <c r="B114" s="2"/>
      <c r="C114" s="2"/>
      <c r="D114" s="2"/>
      <c r="E114" s="2"/>
      <c r="F114" s="14"/>
    </row>
    <row r="115" spans="1:6" x14ac:dyDescent="0.25">
      <c r="A115" s="1"/>
      <c r="B115" s="1" t="s">
        <v>66</v>
      </c>
      <c r="C115" s="2"/>
      <c r="D115" s="2"/>
      <c r="E115" s="2"/>
      <c r="F115" s="14"/>
    </row>
    <row r="116" spans="1:6" x14ac:dyDescent="0.25">
      <c r="A116" s="1"/>
      <c r="B116" s="2" t="s">
        <v>67</v>
      </c>
      <c r="C116" s="2"/>
      <c r="D116" s="2"/>
      <c r="E116" s="2"/>
      <c r="F116" s="14"/>
    </row>
    <row r="117" spans="1:6" x14ac:dyDescent="0.25">
      <c r="A117" s="1"/>
      <c r="B117" s="2"/>
      <c r="C117" s="2"/>
      <c r="D117" s="2" t="s">
        <v>101</v>
      </c>
      <c r="E117" s="2"/>
      <c r="F117" s="5"/>
    </row>
    <row r="118" spans="1:6" x14ac:dyDescent="0.25">
      <c r="A118" s="1"/>
      <c r="B118" s="2"/>
      <c r="C118" s="2"/>
      <c r="D118" s="2" t="s">
        <v>68</v>
      </c>
      <c r="E118" s="2"/>
      <c r="F118" s="5">
        <v>0</v>
      </c>
    </row>
    <row r="119" spans="1:6" x14ac:dyDescent="0.25">
      <c r="A119" s="1"/>
      <c r="B119" s="2"/>
      <c r="C119" s="2"/>
      <c r="D119" s="2" t="s">
        <v>69</v>
      </c>
      <c r="E119" s="2"/>
      <c r="F119" s="5">
        <v>0</v>
      </c>
    </row>
    <row r="120" spans="1:6" x14ac:dyDescent="0.25">
      <c r="A120" s="1"/>
      <c r="B120" s="2"/>
      <c r="C120" s="2"/>
      <c r="D120" s="2" t="s">
        <v>70</v>
      </c>
      <c r="E120" s="2"/>
      <c r="F120" s="5">
        <v>0</v>
      </c>
    </row>
    <row r="121" spans="1:6" x14ac:dyDescent="0.25">
      <c r="A121" s="1"/>
      <c r="B121" s="2" t="s">
        <v>71</v>
      </c>
      <c r="C121" s="2"/>
      <c r="D121" s="2"/>
      <c r="E121" s="2"/>
      <c r="F121" s="5">
        <v>6500</v>
      </c>
    </row>
    <row r="122" spans="1:6" x14ac:dyDescent="0.25">
      <c r="A122" s="1"/>
      <c r="B122" s="2"/>
      <c r="C122" s="2" t="s">
        <v>72</v>
      </c>
      <c r="D122" s="2"/>
      <c r="E122" s="2"/>
      <c r="F122" s="5">
        <v>16500</v>
      </c>
    </row>
    <row r="123" spans="1:6" x14ac:dyDescent="0.25">
      <c r="A123" s="1"/>
      <c r="B123" s="2" t="s">
        <v>73</v>
      </c>
      <c r="C123" s="2"/>
      <c r="D123" s="2"/>
      <c r="E123" s="2"/>
      <c r="F123" s="14"/>
    </row>
    <row r="124" spans="1:6" x14ac:dyDescent="0.25">
      <c r="A124" s="1"/>
      <c r="B124" s="2"/>
      <c r="C124" s="2"/>
      <c r="D124" s="2" t="s">
        <v>94</v>
      </c>
      <c r="E124" s="2"/>
      <c r="F124" s="5">
        <f>([1]Staffing!Z5*0.45)+([1]Staffing!Z6*0.9)</f>
        <v>208799.64</v>
      </c>
    </row>
    <row r="125" spans="1:6" x14ac:dyDescent="0.25">
      <c r="A125" s="1"/>
      <c r="B125" s="2"/>
      <c r="C125" s="2"/>
      <c r="D125" s="2" t="s">
        <v>95</v>
      </c>
      <c r="E125" s="2"/>
      <c r="F125" s="5">
        <f>[1]Staffing!Z3*0.75</f>
        <v>90000</v>
      </c>
    </row>
    <row r="126" spans="1:6" x14ac:dyDescent="0.25">
      <c r="A126" s="1"/>
      <c r="B126" s="2" t="s">
        <v>75</v>
      </c>
      <c r="C126" s="2"/>
      <c r="E126" s="2"/>
      <c r="F126" s="5">
        <f>(9000*12)+3000</f>
        <v>111000</v>
      </c>
    </row>
    <row r="127" spans="1:6" x14ac:dyDescent="0.25">
      <c r="A127" s="1"/>
      <c r="B127" s="2" t="s">
        <v>76</v>
      </c>
      <c r="C127" s="2"/>
      <c r="D127" s="2"/>
      <c r="E127" s="2"/>
      <c r="F127" s="5">
        <f>200*12</f>
        <v>2400</v>
      </c>
    </row>
    <row r="128" spans="1:6" x14ac:dyDescent="0.25">
      <c r="A128" s="1"/>
      <c r="B128" s="2" t="s">
        <v>77</v>
      </c>
      <c r="C128" s="2"/>
      <c r="D128" s="2"/>
      <c r="E128" s="2"/>
      <c r="F128" s="10"/>
    </row>
    <row r="129" spans="1:6" x14ac:dyDescent="0.25">
      <c r="A129" s="1"/>
      <c r="B129" s="17" t="s">
        <v>78</v>
      </c>
      <c r="C129" s="17"/>
      <c r="D129" s="17"/>
      <c r="E129" s="17"/>
      <c r="F129" s="5">
        <f>3000*12</f>
        <v>36000</v>
      </c>
    </row>
    <row r="130" spans="1:6" x14ac:dyDescent="0.25">
      <c r="A130" s="1"/>
      <c r="B130" s="17" t="s">
        <v>79</v>
      </c>
      <c r="C130" s="17"/>
      <c r="D130" s="17"/>
      <c r="E130" s="17"/>
      <c r="F130" s="5">
        <f>700*12</f>
        <v>8400</v>
      </c>
    </row>
    <row r="131" spans="1:6" x14ac:dyDescent="0.25">
      <c r="A131" s="1"/>
      <c r="B131" s="2" t="s">
        <v>80</v>
      </c>
      <c r="C131" s="2"/>
      <c r="D131" s="2"/>
      <c r="E131" s="2"/>
      <c r="F131" s="5">
        <v>0</v>
      </c>
    </row>
    <row r="132" spans="1:6" x14ac:dyDescent="0.25">
      <c r="A132" s="1"/>
      <c r="B132" s="2" t="s">
        <v>81</v>
      </c>
      <c r="C132" s="2"/>
      <c r="D132" s="2"/>
      <c r="E132" s="11"/>
      <c r="F132" s="12">
        <v>0</v>
      </c>
    </row>
    <row r="133" spans="1:6" x14ac:dyDescent="0.25">
      <c r="A133" s="1"/>
      <c r="B133" s="2"/>
      <c r="C133" s="2"/>
      <c r="D133" s="2"/>
      <c r="E133" s="18" t="s">
        <v>82</v>
      </c>
      <c r="F133" s="12">
        <f>SUM(F38:F132)</f>
        <v>1502878.4</v>
      </c>
    </row>
    <row r="134" spans="1:6" ht="15.75" thickBot="1" x14ac:dyDescent="0.3">
      <c r="A134" s="1"/>
      <c r="B134" s="2"/>
      <c r="C134" s="2"/>
      <c r="D134" s="2"/>
      <c r="E134" s="19" t="s">
        <v>83</v>
      </c>
      <c r="F134" s="20">
        <f>F34-F133</f>
        <v>-94445.899999999907</v>
      </c>
    </row>
    <row r="135" spans="1:6" ht="15.75" thickTop="1" x14ac:dyDescent="0.25">
      <c r="A135" s="1"/>
      <c r="B135" s="2"/>
      <c r="C135" s="2"/>
      <c r="D135" s="2"/>
      <c r="E135" s="2"/>
      <c r="F135" s="3">
        <f>F34-F133</f>
        <v>-94445.899999999907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FY 21 Budget</vt:lpstr>
      <vt:lpstr>FY 21 Bud detail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Pappas</dc:creator>
  <cp:lastModifiedBy>Tom Pappas</cp:lastModifiedBy>
  <dcterms:created xsi:type="dcterms:W3CDTF">2021-02-22T17:49:59Z</dcterms:created>
  <dcterms:modified xsi:type="dcterms:W3CDTF">2021-03-02T20:57:25Z</dcterms:modified>
</cp:coreProperties>
</file>